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eacher\Desktop\Calculation sheets\New\"/>
    </mc:Choice>
  </mc:AlternateContent>
  <bookViews>
    <workbookView xWindow="-105" yWindow="-105" windowWidth="18465" windowHeight="11025" activeTab="3"/>
  </bookViews>
  <sheets>
    <sheet name="Cover" sheetId="8" r:id="rId1"/>
    <sheet name="Change Log" sheetId="3" r:id="rId2"/>
    <sheet name="Objectives" sheetId="4" r:id="rId3"/>
    <sheet name="Motor sizing" sheetId="1" r:id="rId4"/>
    <sheet name="Trade_off" sheetId="5" r:id="rId5"/>
    <sheet name="ProductTreeMain" sheetId="6" r:id="rId6"/>
    <sheet name="Constants" sheetId="7" state="hidden"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1AU" localSheetId="0">#REF!</definedName>
    <definedName name="_1AU" localSheetId="2">#REF!</definedName>
    <definedName name="_1AU" localSheetId="5">#REF!</definedName>
    <definedName name="_1AU">#REF!</definedName>
    <definedName name="_ConCORDE_Info_" localSheetId="0">#REF!</definedName>
    <definedName name="_ConCORDE_Info_">#REF!</definedName>
    <definedName name="_DomainOfExpertise_" localSheetId="0">#REF!</definedName>
    <definedName name="_DomainOfExpertise_">#REF!</definedName>
    <definedName name="_ecc2" localSheetId="0">#REF!</definedName>
    <definedName name="_ecc2">#REF!</definedName>
    <definedName name="_EngineeringModel_" localSheetId="0">#REF!</definedName>
    <definedName name="_EngineeringModel_">#REF!</definedName>
    <definedName name="_IterationNumber_" localSheetId="0">#REF!</definedName>
    <definedName name="_IterationNumber_">#REF!</definedName>
    <definedName name="_IterationRevision_" localSheetId="0">#REF!</definedName>
    <definedName name="_IterationRevision_">#REF!</definedName>
    <definedName name="_LastModifiedOn_" localSheetId="0">#REF!</definedName>
    <definedName name="_LastModifiedOn_">#REF!</definedName>
    <definedName name="_Person_" localSheetId="0">#REF!</definedName>
    <definedName name="_Person_">#REF!</definedName>
    <definedName name="absolute_zero" localSheetId="0">#REF!</definedName>
    <definedName name="absolute_zero" localSheetId="2">#REF!</definedName>
    <definedName name="absolute_zero" localSheetId="5">#REF!</definedName>
    <definedName name="absolute_zero">#REF!</definedName>
    <definedName name="anscount" hidden="1">6</definedName>
    <definedName name="AOGNC\m\\">[1]Parameters!$I$2</definedName>
    <definedName name="AOGNC\P\\">[1]Parameters!$I$4</definedName>
    <definedName name="AOGNC\P_duty_cyc\\">[1]Parameters!$I$5</definedName>
    <definedName name="Aperture_diameter">'[2]Obs Payload - Optics'!$D$35</definedName>
    <definedName name="atto" localSheetId="0">#REF!</definedName>
    <definedName name="atto" localSheetId="2">#REF!</definedName>
    <definedName name="atto" localSheetId="5">#REF!</definedName>
    <definedName name="atto">#REF!</definedName>
    <definedName name="AU" localSheetId="0">#REF!</definedName>
    <definedName name="AU">#REF!</definedName>
    <definedName name="Author">" "</definedName>
    <definedName name="Avg_Solar_Flux">Constants!$B$33</definedName>
    <definedName name="bmsAddress">""</definedName>
    <definedName name="bmsPhoneFax">""</definedName>
    <definedName name="bmsSitename">""</definedName>
    <definedName name="bmsSitename2">""</definedName>
    <definedName name="Boltzmann_Constant" localSheetId="6">Constants!$B$3</definedName>
    <definedName name="Boltzmann_Constant" localSheetId="0">#REF!</definedName>
    <definedName name="Boltzmann_Constant" localSheetId="2">[3]Constants!$B$3</definedName>
    <definedName name="Boltzmann_Constant" localSheetId="5">#REF!</definedName>
    <definedName name="Boltzmann_Constant" localSheetId="4">[3]Constants!$B$3</definedName>
    <definedName name="Boltzmann_Constant">#REF!</definedName>
    <definedName name="c0" localSheetId="2">#REF!</definedName>
    <definedName name="CDH\m\\">[1]Parameters!$I$6</definedName>
    <definedName name="CDH\P\\">[1]Parameters!$I$8</definedName>
    <definedName name="CDH\P_duty_cyc\\">[1]Parameters!$I$9</definedName>
    <definedName name="cellname_SUB_aa">[4]Subsystem!$B$13</definedName>
    <definedName name="cellname_SUB_bb">[4]Subsystem!$B$10</definedName>
    <definedName name="cellname_SUB_cc">[4]Subsystem!$B$11</definedName>
    <definedName name="cellname_SUB_dd">[4]Subsystem!$B$12</definedName>
    <definedName name="centi" localSheetId="0">#REF!</definedName>
    <definedName name="centi" localSheetId="2">#REF!</definedName>
    <definedName name="centi" localSheetId="5">#REF!</definedName>
    <definedName name="centi">#REF!</definedName>
    <definedName name="Classification">"ESA UNCLASSIFIED - For Official Use"</definedName>
    <definedName name="Classification_Caveat">" "</definedName>
    <definedName name="COMM\m\\">[1]Parameters!$I$10</definedName>
    <definedName name="COMM\P\\">[1]Parameters!$I$12</definedName>
    <definedName name="COMM\P_duty_cyc\\">[1]Parameters!$I$13</definedName>
    <definedName name="Comments">" "</definedName>
    <definedName name="Company">"ESA"</definedName>
    <definedName name="conversion_inch2m" localSheetId="0">#REF!</definedName>
    <definedName name="conversion_inch2m" localSheetId="5">#REF!</definedName>
    <definedName name="conversion_inch2m">#REF!</definedName>
    <definedName name="Current_Magnetic_Torquer" localSheetId="2">'[5]Attitude Control - Sizing'!$Q$66</definedName>
    <definedName name="Current_Magnetic_Torquer">'[6]Attitude Control - Sizing'!$Q$66</definedName>
    <definedName name="DBname" localSheetId="0">#REF!</definedName>
    <definedName name="DBname" localSheetId="2">#REF!</definedName>
    <definedName name="DBname" localSheetId="5">#REF!</definedName>
    <definedName name="DBname">#REF!</definedName>
    <definedName name="deci" localSheetId="0">#REF!</definedName>
    <definedName name="deci" localSheetId="5">#REF!</definedName>
    <definedName name="deci">#REF!</definedName>
    <definedName name="deg" localSheetId="0">#REF!</definedName>
    <definedName name="deg">#REF!</definedName>
    <definedName name="degpermin" localSheetId="0">#REF!</definedName>
    <definedName name="degpermin">#REF!</definedName>
    <definedName name="degpermin2" localSheetId="0">#REF!</definedName>
    <definedName name="degpermin2">#REF!</definedName>
    <definedName name="deka" localSheetId="0">#REF!</definedName>
    <definedName name="deka" localSheetId="5">#REF!</definedName>
    <definedName name="deka">#REF!</definedName>
    <definedName name="departureplanet_OrbitRadius" localSheetId="0">[16]Constants!$B$9</definedName>
    <definedName name="departureplanet_OrbitRadius">[7]Constants!$B$9</definedName>
    <definedName name="Distribution">" "</definedName>
    <definedName name="Document_type">" "</definedName>
    <definedName name="Earth_conv_IGRF_radi" localSheetId="0">#REF!</definedName>
    <definedName name="Earth_conv_IGRF_radi" localSheetId="5">#REF!</definedName>
    <definedName name="Earth_conv_IGRF_radi">#REF!</definedName>
    <definedName name="Earth_dyn_form_factor" localSheetId="0">#REF!</definedName>
    <definedName name="Earth_dyn_form_factor" localSheetId="5">#REF!</definedName>
    <definedName name="Earth_dyn_form_factor">#REF!</definedName>
    <definedName name="Earth_equator_radi" localSheetId="0">#REF!</definedName>
    <definedName name="Earth_equator_radi" localSheetId="5">#REF!</definedName>
    <definedName name="Earth_equator_radi">#REF!</definedName>
    <definedName name="Earth_flattening_factor" localSheetId="0">#REF!</definedName>
    <definedName name="Earth_flattening_factor" localSheetId="5">#REF!</definedName>
    <definedName name="Earth_flattening_factor">#REF!</definedName>
    <definedName name="Earth_J2" localSheetId="0">#REF!</definedName>
    <definedName name="Earth_J2" localSheetId="2">[8]Constants!#REF!</definedName>
    <definedName name="Earth_J2" localSheetId="5">#REF!</definedName>
    <definedName name="Earth_J2">#REF!</definedName>
    <definedName name="Earth_Mag_Moment" localSheetId="0">#REF!</definedName>
    <definedName name="Earth_Mag_Moment" localSheetId="2">[8]Constants!#REF!</definedName>
    <definedName name="Earth_Mag_Moment" localSheetId="5">#REF!</definedName>
    <definedName name="Earth_Mag_Moment">#REF!</definedName>
    <definedName name="Earth_mass" localSheetId="0">#REF!</definedName>
    <definedName name="Earth_mass" localSheetId="2">#REF!</definedName>
    <definedName name="Earth_mass" localSheetId="5">#REF!</definedName>
    <definedName name="Earth_mass">#REF!</definedName>
    <definedName name="Earth_mean_radi" localSheetId="0">#REF!</definedName>
    <definedName name="Earth_mean_radi" localSheetId="5">#REF!</definedName>
    <definedName name="Earth_mean_radi">#REF!</definedName>
    <definedName name="Earth_Mu" localSheetId="6">Constants!$B$12</definedName>
    <definedName name="Earth_Mu" localSheetId="2">[5]Constants!$B$12</definedName>
    <definedName name="Earth_Mu" localSheetId="5">[9]Constants!$B$7</definedName>
    <definedName name="Earth_Mu" localSheetId="4">[10]Constants!$B$12</definedName>
    <definedName name="Earth_Mu">[9]Constants!$B$7</definedName>
    <definedName name="Earth_obl_coeff" localSheetId="0">#REF!</definedName>
    <definedName name="Earth_obl_coeff" localSheetId="2">#REF!</definedName>
    <definedName name="Earth_obl_coeff" localSheetId="5">#REF!</definedName>
    <definedName name="Earth_obl_coeff">#REF!</definedName>
    <definedName name="Earth_OrbitRadius" localSheetId="2">[11]Constants!$B$9</definedName>
    <definedName name="Earth_OrbitRadius">Constants!$B$9</definedName>
    <definedName name="Earth_OrbPeriod">Constants!$B$10</definedName>
    <definedName name="Earth_pole_radi" localSheetId="0">#REF!</definedName>
    <definedName name="Earth_pole_radi" localSheetId="2">#REF!</definedName>
    <definedName name="Earth_pole_radi" localSheetId="5">#REF!</definedName>
    <definedName name="Earth_pole_radi">#REF!</definedName>
    <definedName name="Earth_Radius" localSheetId="6">Constants!$B$11</definedName>
    <definedName name="Earth_Radius" localSheetId="2">[5]Constants!$B$11</definedName>
    <definedName name="Earth_Radius" localSheetId="5">[9]Constants!$B$6</definedName>
    <definedName name="Earth_Radius" localSheetId="4">[10]Constants!$B$11</definedName>
    <definedName name="Earth_Radius">[9]Constants!$B$6</definedName>
    <definedName name="Earth_rotation_rate" localSheetId="0">#REF!</definedName>
    <definedName name="Earth_rotation_rate" localSheetId="2">#REF!</definedName>
    <definedName name="Earth_rotation_rate" localSheetId="5">#REF!</definedName>
    <definedName name="Earth_rotation_rate">#REF!</definedName>
    <definedName name="Earth_SidDay">Constants!$B$13</definedName>
    <definedName name="Earth_SolarDay" localSheetId="2">[7]Constants!$B$14</definedName>
    <definedName name="Earth_SolarDay">Constants!$B$14</definedName>
    <definedName name="Earth_Vel" localSheetId="0">#REF!</definedName>
    <definedName name="Earth_Vel" localSheetId="2">[8]Constants!#REF!</definedName>
    <definedName name="Earth_Vel" localSheetId="5">#REF!</definedName>
    <definedName name="Earth_Vel">#REF!</definedName>
    <definedName name="ecc" localSheetId="0">#REF!</definedName>
    <definedName name="ecc" localSheetId="2">#REF!</definedName>
    <definedName name="ecc">#REF!</definedName>
    <definedName name="elementary_charge" localSheetId="0">#REF!</definedName>
    <definedName name="elementary_charge" localSheetId="5">#REF!</definedName>
    <definedName name="elementary_charge">#REF!</definedName>
    <definedName name="EPS\m\\">[1]Parameters!$I$14</definedName>
    <definedName name="EPS\P\\">[1]Parameters!$I$16</definedName>
    <definedName name="EPS\P_duty_cyc\\">[1]Parameters!$I$17</definedName>
    <definedName name="exa" localSheetId="0">#REF!</definedName>
    <definedName name="exa" localSheetId="2">#REF!</definedName>
    <definedName name="exa" localSheetId="5">#REF!</definedName>
    <definedName name="exa">#REF!</definedName>
    <definedName name="femto" localSheetId="0">#REF!</definedName>
    <definedName name="femto" localSheetId="5">#REF!</definedName>
    <definedName name="femto">#REF!</definedName>
    <definedName name="Focal_length">'[2]Obs Payload - Optics'!$D$36</definedName>
    <definedName name="g" localSheetId="0">#REF!</definedName>
    <definedName name="g" localSheetId="2">#REF!</definedName>
    <definedName name="g" localSheetId="5">#REF!</definedName>
    <definedName name="g">#REF!</definedName>
    <definedName name="G_Universal" localSheetId="0">#REF!</definedName>
    <definedName name="G_Universal" localSheetId="5">#REF!</definedName>
    <definedName name="G_Universal">#REF!</definedName>
    <definedName name="giga" localSheetId="0">#REF!</definedName>
    <definedName name="giga" localSheetId="5">#REF!</definedName>
    <definedName name="giga">#REF!</definedName>
    <definedName name="GM_Earth" localSheetId="0">#REF!</definedName>
    <definedName name="GM_Earth" localSheetId="5">#REF!</definedName>
    <definedName name="GM_Earth">#REF!</definedName>
    <definedName name="GM_Mars" localSheetId="0">#REF!</definedName>
    <definedName name="GM_Mars" localSheetId="5">#REF!</definedName>
    <definedName name="GM_Mars">#REF!</definedName>
    <definedName name="GM_Moon" localSheetId="0">#REF!</definedName>
    <definedName name="GM_Moon" localSheetId="5">#REF!</definedName>
    <definedName name="GM_Moon">#REF!</definedName>
    <definedName name="GM_Sun" localSheetId="0">#REF!</definedName>
    <definedName name="GM_Sun" localSheetId="5">#REF!</definedName>
    <definedName name="GM_Sun">#REF!</definedName>
    <definedName name="hecto" localSheetId="0">#REF!</definedName>
    <definedName name="hecto" localSheetId="5">#REF!</definedName>
    <definedName name="hecto">#REF!</definedName>
    <definedName name="hgeo" localSheetId="0">#REF!</definedName>
    <definedName name="hgeo">#REF!</definedName>
    <definedName name="HTML_CodePage" hidden="1">1252</definedName>
    <definedName name="HTML_Control" localSheetId="0" hidden="1">{"'honey'!$A$1:$M$23"}</definedName>
    <definedName name="HTML_Control" localSheetId="2" hidden="1">{"'honey'!$A$1:$M$23"}</definedName>
    <definedName name="HTML_Control" localSheetId="5" hidden="1">{"'honey'!$A$1:$M$23"}</definedName>
    <definedName name="HTML_Control" hidden="1">{"'honey'!$A$1:$M$23"}</definedName>
    <definedName name="HTML_Controlbis" localSheetId="0" hidden="1">{"'honey'!$A$1:$M$23"}</definedName>
    <definedName name="HTML_Controlbis" localSheetId="2" hidden="1">{"'honey'!$A$1:$M$23"}</definedName>
    <definedName name="HTML_Controlbis" localSheetId="5" hidden="1">{"'honey'!$A$1:$M$23"}</definedName>
    <definedName name="HTML_Controlbis" hidden="1">{"'honey'!$A$1:$M$23"}</definedName>
    <definedName name="HTML_Description" hidden="1">""</definedName>
    <definedName name="HTML_Email" hidden="1">""</definedName>
    <definedName name="HTML_Header" hidden="1">"honey"</definedName>
    <definedName name="HTML_LastUpdate" hidden="1">"24/11/97"</definedName>
    <definedName name="HTML_LineAfter" hidden="1">TRUE</definedName>
    <definedName name="HTML_LineBefore" hidden="1">TRUE</definedName>
    <definedName name="HTML_Name" hidden="1">"Philippe Poinas"</definedName>
    <definedName name="HTML_OBDlg2" hidden="1">TRUE</definedName>
    <definedName name="HTML_OBDlg4" hidden="1">TRUE</definedName>
    <definedName name="HTML_OS" hidden="1">0</definedName>
    <definedName name="HTML_PathFile" hidden="1">"H:\philippe\etc\kermesse\y97\exceltest.html"</definedName>
    <definedName name="HTML_Title" hidden="1">"thermal"</definedName>
    <definedName name="inc" localSheetId="0">#REF!</definedName>
    <definedName name="inc">#REF!</definedName>
    <definedName name="INS\m\\">[1]Parameters!$I$18</definedName>
    <definedName name="INS\P\\">[1]Parameters!$I$20</definedName>
    <definedName name="INS\P_duty_cyc\\">[1]Parameters!$I$21</definedName>
    <definedName name="Issue">"16/07/2018"</definedName>
    <definedName name="Issue_Date" localSheetId="5">"01/01/2000"</definedName>
    <definedName name="Issue_Date">" "</definedName>
    <definedName name="jtwo" localSheetId="0">#REF!</definedName>
    <definedName name="jtwo" localSheetId="2">#REF!</definedName>
    <definedName name="jtwo">#REF!</definedName>
    <definedName name="K" localSheetId="0">#REF!</definedName>
    <definedName name="K">#REF!</definedName>
    <definedName name="kb" localSheetId="0">#REF!</definedName>
    <definedName name="kb">#REF!</definedName>
    <definedName name="Keywords">" "</definedName>
    <definedName name="kilo" localSheetId="0">#REF!</definedName>
    <definedName name="kilo" localSheetId="2">#REF!</definedName>
    <definedName name="kilo" localSheetId="5">#REF!</definedName>
    <definedName name="kilo">#REF!</definedName>
    <definedName name="Knudot" localSheetId="0">#REF!</definedName>
    <definedName name="Knudot">#REF!</definedName>
    <definedName name="Knudot2" localSheetId="0">#REF!</definedName>
    <definedName name="Knudot2">#REF!</definedName>
    <definedName name="light_year" localSheetId="0">#REF!</definedName>
    <definedName name="light_year" localSheetId="5">#REF!</definedName>
    <definedName name="light_year">#REF!</definedName>
    <definedName name="Mars_mass" localSheetId="0">#REF!</definedName>
    <definedName name="Mars_mass" localSheetId="2">#REF!</definedName>
    <definedName name="Mars_mass" localSheetId="5">#REF!</definedName>
    <definedName name="Mars_mass">#REF!</definedName>
    <definedName name="Mars_mean_radi" localSheetId="0">#REF!</definedName>
    <definedName name="Mars_mean_radi" localSheetId="5">#REF!</definedName>
    <definedName name="Mars_mean_radi">#REF!</definedName>
    <definedName name="Mass" localSheetId="0">#REF!</definedName>
    <definedName name="Mass" localSheetId="2">#REF!</definedName>
    <definedName name="Mass" localSheetId="5">[9]MainTrade!#REF!</definedName>
    <definedName name="Mass">#REF!</definedName>
    <definedName name="Max_Solar_Flux">Constants!$B$31</definedName>
    <definedName name="MECH\m\\">[1]Parameters!$I$22</definedName>
    <definedName name="MECH\P\\">[1]Parameters!$I$24</definedName>
    <definedName name="MECH\P_duty_cyc\\">[1]Parameters!$I$25</definedName>
    <definedName name="mega" localSheetId="0">#REF!</definedName>
    <definedName name="mega" localSheetId="2">#REF!</definedName>
    <definedName name="mega" localSheetId="5">#REF!</definedName>
    <definedName name="mega">#REF!</definedName>
    <definedName name="micro" localSheetId="0">#REF!</definedName>
    <definedName name="micro" localSheetId="5">#REF!</definedName>
    <definedName name="micro">#REF!</definedName>
    <definedName name="milli" localSheetId="0">#REF!</definedName>
    <definedName name="milli" localSheetId="5">#REF!</definedName>
    <definedName name="milli">#REF!</definedName>
    <definedName name="Momentum_Wheel_Mass" localSheetId="2">'[5]Attitude Control - Sizing'!$Q$20</definedName>
    <definedName name="Momentum_Wheel_Mass">'[6]Attitude Control - Sizing'!$Q$20</definedName>
    <definedName name="mu" localSheetId="2">#REF!</definedName>
    <definedName name="nano" localSheetId="0">#REF!</definedName>
    <definedName name="nano" localSheetId="2">#REF!</definedName>
    <definedName name="nano" localSheetId="5">#REF!</definedName>
    <definedName name="nano">#REF!</definedName>
    <definedName name="Originating_Organisation">" "</definedName>
    <definedName name="para_SUB_aa">[4]Subsystem!$A$13</definedName>
    <definedName name="para_SUB_bb">[4]Subsystem!$A$10</definedName>
    <definedName name="para_SUB_cc">[4]Subsystem!$A$11</definedName>
    <definedName name="para_SUB_dd">[4]Subsystem!$A$12</definedName>
    <definedName name="Parameters" localSheetId="0">#REF!</definedName>
    <definedName name="Parameters">#REF!</definedName>
    <definedName name="PasteSpecial" localSheetId="0">Cover!PasteSpecial</definedName>
    <definedName name="PasteSpecial" localSheetId="2">Objectives!PasteSpecial</definedName>
    <definedName name="PasteSpecial" localSheetId="5">ProductTreeMain!PasteSpecial</definedName>
    <definedName name="PasteSpecial">#N/A</definedName>
    <definedName name="PasteSpecial_3" localSheetId="0">Cover!PasteSpecial_3</definedName>
    <definedName name="PasteSpecial_3" localSheetId="2">Objectives!PasteSpecial_3</definedName>
    <definedName name="PasteSpecial_3" localSheetId="5">ProductTreeMain!PasteSpecial_3</definedName>
    <definedName name="PasteSpecial_3">#N/A</definedName>
    <definedName name="PasteSpecial_6" localSheetId="0">Cover!PasteSpecial_6</definedName>
    <definedName name="PasteSpecial_6" localSheetId="2">Objectives!PasteSpecial_6</definedName>
    <definedName name="PasteSpecial_6" localSheetId="5">ProductTreeMain!PasteSpecial_6</definedName>
    <definedName name="PasteSpecial_6">#N/A</definedName>
    <definedName name="PasteSpecial_7" localSheetId="0">Cover!PasteSpecial_7</definedName>
    <definedName name="PasteSpecial_7" localSheetId="2">Objectives!PasteSpecial_7</definedName>
    <definedName name="PasteSpecial_7" localSheetId="5">ProductTreeMain!PasteSpecial_7</definedName>
    <definedName name="PasteSpecial_7">#N/A</definedName>
    <definedName name="PasteSpecial_8" localSheetId="0">Cover!PasteSpecial_8</definedName>
    <definedName name="PasteSpecial_8" localSheetId="2">Objectives!PasteSpecial_8</definedName>
    <definedName name="PasteSpecial_8" localSheetId="5">ProductTreeMain!PasteSpecial_8</definedName>
    <definedName name="PasteSpecial_8">#N/A</definedName>
    <definedName name="permeability_vacuum" localSheetId="0">#REF!</definedName>
    <definedName name="permeability_vacuum" localSheetId="2">#REF!</definedName>
    <definedName name="permeability_vacuum" localSheetId="5">#REF!</definedName>
    <definedName name="permeability_vacuum">#REF!</definedName>
    <definedName name="permittivity_vacuum" localSheetId="0">#REF!</definedName>
    <definedName name="permittivity_vacuum" localSheetId="5">#REF!</definedName>
    <definedName name="permittivity_vacuum">#REF!</definedName>
    <definedName name="peta" localSheetId="0">#REF!</definedName>
    <definedName name="peta" localSheetId="5">#REF!</definedName>
    <definedName name="peta">#REF!</definedName>
    <definedName name="pi" localSheetId="0">#REF!</definedName>
    <definedName name="pi" localSheetId="5">#REF!</definedName>
    <definedName name="pi">#REF!</definedName>
    <definedName name="piko" localSheetId="0">#REF!</definedName>
    <definedName name="piko" localSheetId="5">#REF!</definedName>
    <definedName name="piko">#REF!</definedName>
    <definedName name="Planck_Constant" localSheetId="6">Constants!$B$2</definedName>
    <definedName name="Planck_Constant" localSheetId="0">#REF!</definedName>
    <definedName name="Planck_Constant" localSheetId="2">#REF!</definedName>
    <definedName name="Planck_Constant" localSheetId="5">#REF!</definedName>
    <definedName name="Planck_Constant">#REF!</definedName>
    <definedName name="Planet_Albedo" localSheetId="0">[17]Constants!$B$32</definedName>
    <definedName name="Planet_Albedo" localSheetId="2">[12]Constants!$B$32</definedName>
    <definedName name="Planet_Albedo">Constants!$B$32</definedName>
    <definedName name="Planet_J2" localSheetId="2">[7]Constants!$B$20</definedName>
    <definedName name="Planet_J2">Constants!$B$20</definedName>
    <definedName name="Planet_Mag_Moment">Constants!$B$28</definedName>
    <definedName name="Planet_MaxIR" localSheetId="0">[17]Constants!$B$29</definedName>
    <definedName name="Planet_MaxIR">Constants!$B$29</definedName>
    <definedName name="Planet_MinIR" localSheetId="0">[17]Constants!$B$30</definedName>
    <definedName name="Planet_MinIR">Constants!$B$30</definedName>
    <definedName name="Planet_MoonNode">Constants!$B$21</definedName>
    <definedName name="Planet_MoonPer">Constants!$B$23</definedName>
    <definedName name="Planet_Mu" localSheetId="0">[17]Constants!$B$19</definedName>
    <definedName name="Planet_Mu" localSheetId="2">[7]Constants!$B$19</definedName>
    <definedName name="Planet_Mu" localSheetId="5">[13]Constants!$B$19</definedName>
    <definedName name="Planet_Mu">Constants!$B$19</definedName>
    <definedName name="Planet_OrbitRadius" localSheetId="2">[7]Constants!$B$16</definedName>
    <definedName name="Planet_OrbitRadius">Constants!$B$16</definedName>
    <definedName name="Planet_OrbPeriod">Constants!$B$17</definedName>
    <definedName name="Planet_Radius" localSheetId="0">[17]Constants!$B$18</definedName>
    <definedName name="Planet_Radius" localSheetId="2">[8]Constants!$B$18</definedName>
    <definedName name="Planet_Radius" localSheetId="5">[13]Constants!$B$18</definedName>
    <definedName name="Planet_Radius">[14]Constants!$B$18</definedName>
    <definedName name="Planet_SidDay">Constants!$B$25</definedName>
    <definedName name="Planet_SolarDay">Constants!$B$26</definedName>
    <definedName name="Planet_SunNode">Constants!$B$22</definedName>
    <definedName name="Planet_SunPer">Constants!$B$24</definedName>
    <definedName name="Planet_Vel" localSheetId="2">[7]Constants!$B$27</definedName>
    <definedName name="Planet_Vel">Constants!$B$27</definedName>
    <definedName name="plank" localSheetId="2">#REF!</definedName>
    <definedName name="Pressnt\m\\" localSheetId="0">#REF!</definedName>
    <definedName name="Pressnt\m\\" localSheetId="2">[12]Parameters!$I$5</definedName>
    <definedName name="Pressnt\m\\">#REF!</definedName>
    <definedName name="Prop\m\\" localSheetId="0">#REF!</definedName>
    <definedName name="Prop\m\\" localSheetId="2">[1]Parameters!$I$26</definedName>
    <definedName name="Prop\m\\">#REF!</definedName>
    <definedName name="Prop\P\\">[1]Parameters!$I$28</definedName>
    <definedName name="Prop\P_duty_cyc\\">[1]Parameters!$I$29</definedName>
    <definedName name="Q" localSheetId="0">#REF!</definedName>
    <definedName name="Q" localSheetId="2">#REF!</definedName>
    <definedName name="Q">#REF!</definedName>
    <definedName name="Q_2" localSheetId="0">#REF!</definedName>
    <definedName name="Q_2">#REF!</definedName>
    <definedName name="Q1_2" localSheetId="0">#REF!</definedName>
    <definedName name="Q1_2">#REF!</definedName>
    <definedName name="RadToDeg" localSheetId="2">[10]Constants!$B$40</definedName>
    <definedName name="RadToDeg">[10]Constants!$B$40</definedName>
    <definedName name="Rain_Temp" localSheetId="6">Constants!$B$37</definedName>
    <definedName name="Rain_Temp" localSheetId="0">#REF!</definedName>
    <definedName name="Rain_Temp" localSheetId="2">#REF!</definedName>
    <definedName name="Rain_Temp" localSheetId="5">#REF!</definedName>
    <definedName name="Rain_Temp">#REF!</definedName>
    <definedName name="Range_default" localSheetId="0">#REF!</definedName>
    <definedName name="Range_default">#REF!</definedName>
    <definedName name="Re" localSheetId="2">#REF!</definedName>
    <definedName name="Reaction_Wheel_Mass" localSheetId="2">'[5]Attitude Control - Sizing'!$Q$30</definedName>
    <definedName name="Reaction_Wheel_Mass">'[6]Attitude Control - Sizing'!$Q$30</definedName>
    <definedName name="Reference">" "</definedName>
    <definedName name="remark_SUB_aa">[4]Subsystem!$H$13</definedName>
    <definedName name="remark_SUB_bb">[4]Subsystem!$H$10</definedName>
    <definedName name="remark_SUB_cc">[4]Subsystem!$H$11</definedName>
    <definedName name="remark_SUB_dd">[4]Subsystem!$H$12</definedName>
    <definedName name="Revision">" "</definedName>
    <definedName name="rgeo" localSheetId="0">#REF!</definedName>
    <definedName name="rgeo" localSheetId="2">#REF!</definedName>
    <definedName name="rgeo">#REF!</definedName>
    <definedName name="sol" localSheetId="0">#REF!</definedName>
    <definedName name="sol" localSheetId="2">#REF!</definedName>
    <definedName name="sol">#REF!</definedName>
    <definedName name="Solar_Flux" localSheetId="0">#REF!</definedName>
    <definedName name="Solar_Flux" localSheetId="2">[5]Constants!$B$33</definedName>
    <definedName name="Solar_Flux" localSheetId="5">#REF!</definedName>
    <definedName name="Solar_Flux">#REF!</definedName>
    <definedName name="solar_flux_1AU" localSheetId="0">#REF!</definedName>
    <definedName name="solar_flux_1AU" localSheetId="2">#REF!</definedName>
    <definedName name="solar_flux_1AU" localSheetId="5">#REF!</definedName>
    <definedName name="solar_flux_1AU">#REF!</definedName>
    <definedName name="Solar_mass" localSheetId="0">#REF!</definedName>
    <definedName name="Solar_mass" localSheetId="5">#REF!</definedName>
    <definedName name="Solar_mass">#REF!</definedName>
    <definedName name="Solar_radius" localSheetId="0">#REF!</definedName>
    <definedName name="Solar_radius" localSheetId="5">#REF!</definedName>
    <definedName name="Solar_radius">#REF!</definedName>
    <definedName name="Spacecraft\delta_v\\" localSheetId="0">#REF!</definedName>
    <definedName name="Spacecraft\delta_v\\" localSheetId="2">[12]Parameters!$I$2</definedName>
    <definedName name="Spacecraft\delta_v\\">#REF!</definedName>
    <definedName name="Spacecraft\mass_dry\\" localSheetId="0">#REF!</definedName>
    <definedName name="Spacecraft\mass_dry\\" localSheetId="2">[12]Parameters!$I$3</definedName>
    <definedName name="Spacecraft\mass_dry\\">#REF!</definedName>
    <definedName name="Spacecraft\mass_wet\\" localSheetId="0">#REF!</definedName>
    <definedName name="Spacecraft\mass_wet\\" localSheetId="2">[12]Parameters!$I$4</definedName>
    <definedName name="Spacecraft\mass_wet\\">#REF!</definedName>
    <definedName name="Speed_of_Light" localSheetId="6">Constants!$B$1</definedName>
    <definedName name="Speed_of_Light" localSheetId="0">#REF!</definedName>
    <definedName name="Speed_of_Light" localSheetId="2">[5]Constants!$B$1</definedName>
    <definedName name="Speed_of_Light" localSheetId="5">#REF!</definedName>
    <definedName name="Speed_of_Light" localSheetId="4">#REF!</definedName>
    <definedName name="Speed_of_Light">#REF!</definedName>
    <definedName name="States" localSheetId="0">#REF!</definedName>
    <definedName name="States">#REF!</definedName>
    <definedName name="Status">" "</definedName>
    <definedName name="Stefan_Boltzmann_Constant" localSheetId="6">Constants!$B$4</definedName>
    <definedName name="Stefan_Boltzmann_Constant" localSheetId="0">#REF!</definedName>
    <definedName name="Stefan_Boltzmann_Constant" localSheetId="2">#REF!</definedName>
    <definedName name="Stefan_Boltzmann_Constant" localSheetId="5">#REF!</definedName>
    <definedName name="Stefan_Boltzmann_Constant">#REF!</definedName>
    <definedName name="Stefan_Boltzmann_Constants" localSheetId="0">[17]Constants!$B$4</definedName>
    <definedName name="Stefan_Boltzmann_Constants" localSheetId="2">[12]Constants!$B$4</definedName>
    <definedName name="Stefan_Boltzmann_Constants">Constants!$B$4</definedName>
    <definedName name="step" localSheetId="0">#REF!</definedName>
    <definedName name="step" localSheetId="2">#REF!</definedName>
    <definedName name="step">#REF!</definedName>
    <definedName name="STR\m\\">[1]Parameters!$I$30</definedName>
    <definedName name="STR\P\\">[1]Parameters!$I$32</definedName>
    <definedName name="STR\P_duty_cyc\\">[1]Parameters!$I$33</definedName>
    <definedName name="SUB_aa">[4]Subsystem!$G$13</definedName>
    <definedName name="SUB_bb">[4]Subsystem!$G$10</definedName>
    <definedName name="SUB_cc">[4]Subsystem!$G$11</definedName>
    <definedName name="SUB_dd">[4]Subsystem!$G$12</definedName>
    <definedName name="Subject">" "</definedName>
    <definedName name="Sun_Mu" localSheetId="2">[7]Constants!$B$7</definedName>
    <definedName name="Sun_Mu">Constants!$B$7</definedName>
    <definedName name="Sun_radi_1AU" localSheetId="0">#REF!</definedName>
    <definedName name="Sun_radi_1AU" localSheetId="2">#REF!</definedName>
    <definedName name="Sun_radi_1AU" localSheetId="5">#REF!</definedName>
    <definedName name="Sun_radi_1AU">#REF!</definedName>
    <definedName name="temp_deep_space" localSheetId="0">#REF!</definedName>
    <definedName name="temp_deep_space" localSheetId="5">#REF!</definedName>
    <definedName name="temp_deep_space">#REF!</definedName>
    <definedName name="tera" localSheetId="0">#REF!</definedName>
    <definedName name="tera" localSheetId="5">#REF!</definedName>
    <definedName name="tera">#REF!</definedName>
    <definedName name="THR\m\\">[1]Parameters!$I$34</definedName>
    <definedName name="THR\P\\">[1]Parameters!$I$36</definedName>
    <definedName name="THR\P_duty_cyc\\">[1]Parameters!$I$37</definedName>
    <definedName name="Title">""</definedName>
    <definedName name="tsid" localSheetId="0">#REF!</definedName>
    <definedName name="tsid" localSheetId="2">#REF!</definedName>
    <definedName name="tsid">#REF!</definedName>
    <definedName name="units_SUB_aa">[4]Subsystem!$E$13</definedName>
    <definedName name="units_SUB_bb">[4]Subsystem!$E$10</definedName>
    <definedName name="units_SUB_cc">[4]Subsystem!$E$11</definedName>
    <definedName name="units_SUB_dd">[4]Subsystem!$E$12</definedName>
    <definedName name="ve" localSheetId="2">#REF!</definedName>
    <definedName name="yocto" localSheetId="0">#REF!</definedName>
    <definedName name="yocto" localSheetId="2">#REF!</definedName>
    <definedName name="yocto" localSheetId="5">#REF!</definedName>
    <definedName name="yocto">#REF!</definedName>
    <definedName name="yotta" localSheetId="0">#REF!</definedName>
    <definedName name="yotta" localSheetId="5">#REF!</definedName>
    <definedName name="yotta">#REF!</definedName>
    <definedName name="zepto" localSheetId="0">#REF!</definedName>
    <definedName name="zepto" localSheetId="5">#REF!</definedName>
    <definedName name="zepto">#REF!</definedName>
    <definedName name="zetta" localSheetId="0">#REF!</definedName>
    <definedName name="zetta" localSheetId="5">#REF!</definedName>
    <definedName name="zetta">#REF!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4" i="1" l="1"/>
  <c r="D15" i="1"/>
  <c r="D16" i="1"/>
  <c r="D13" i="1"/>
  <c r="D5" i="1"/>
  <c r="I126" i="7" l="1"/>
  <c r="I125" i="7"/>
  <c r="I124" i="7"/>
  <c r="I123" i="7"/>
  <c r="I122" i="7"/>
  <c r="I121" i="7"/>
  <c r="I120" i="7"/>
  <c r="I119" i="7"/>
  <c r="I118" i="7"/>
  <c r="I117" i="7"/>
  <c r="I116" i="7"/>
  <c r="I115" i="7"/>
  <c r="H115" i="7"/>
  <c r="G115" i="7"/>
  <c r="I114" i="7"/>
  <c r="E99" i="7"/>
  <c r="E100" i="7" s="1"/>
  <c r="E101" i="7" s="1"/>
  <c r="E102" i="7" s="1"/>
  <c r="E103" i="7" s="1"/>
  <c r="E104" i="7" s="1"/>
  <c r="E105" i="7" s="1"/>
  <c r="E106" i="7" s="1"/>
  <c r="E107" i="7" s="1"/>
  <c r="G98" i="7" s="1"/>
  <c r="G99" i="7" s="1"/>
  <c r="G100" i="7" s="1"/>
  <c r="G101" i="7" s="1"/>
  <c r="G102" i="7" s="1"/>
  <c r="G103" i="7" s="1"/>
  <c r="G104" i="7" s="1"/>
  <c r="G105" i="7" s="1"/>
  <c r="G106" i="7" s="1"/>
  <c r="G107" i="7" s="1"/>
  <c r="J98" i="7" s="1"/>
  <c r="J99" i="7" s="1"/>
  <c r="J100" i="7" s="1"/>
  <c r="J101" i="7" s="1"/>
  <c r="J102" i="7" s="1"/>
  <c r="J103" i="7" s="1"/>
  <c r="J104" i="7" s="1"/>
  <c r="J105" i="7" s="1"/>
  <c r="J106" i="7" s="1"/>
  <c r="J107" i="7" s="1"/>
  <c r="L98" i="7" s="1"/>
  <c r="L99" i="7" s="1"/>
  <c r="L100" i="7" s="1"/>
  <c r="L101" i="7" s="1"/>
  <c r="L102" i="7" s="1"/>
  <c r="L103" i="7" s="1"/>
  <c r="L104" i="7" s="1"/>
  <c r="L105" i="7" s="1"/>
  <c r="L106" i="7" s="1"/>
  <c r="L107" i="7" s="1"/>
  <c r="K98" i="7"/>
  <c r="K99" i="7" s="1"/>
  <c r="K100" i="7" s="1"/>
  <c r="K101" i="7" s="1"/>
  <c r="K102" i="7" s="1"/>
  <c r="K103" i="7" s="1"/>
  <c r="K104" i="7" s="1"/>
  <c r="K105" i="7" s="1"/>
  <c r="K106" i="7" s="1"/>
  <c r="K107" i="7" s="1"/>
  <c r="M98" i="7" s="1"/>
  <c r="M99" i="7" s="1"/>
  <c r="M100" i="7" s="1"/>
  <c r="M101" i="7" s="1"/>
  <c r="M102" i="7" s="1"/>
  <c r="M103" i="7" s="1"/>
  <c r="M104" i="7" s="1"/>
  <c r="M105" i="7" s="1"/>
  <c r="M106" i="7" s="1"/>
  <c r="M107" i="7" s="1"/>
  <c r="U90" i="7"/>
  <c r="T90" i="7"/>
  <c r="AH89" i="7"/>
  <c r="AG89" i="7"/>
  <c r="U89" i="7"/>
  <c r="T89" i="7"/>
  <c r="AH88" i="7"/>
  <c r="AG88" i="7"/>
  <c r="U88" i="7"/>
  <c r="T88" i="7"/>
  <c r="W88" i="7" s="1"/>
  <c r="X87" i="7" s="1"/>
  <c r="AH87" i="7"/>
  <c r="AR87" i="7" s="1"/>
  <c r="AG87" i="7"/>
  <c r="AR88" i="7" s="1"/>
  <c r="W87" i="7"/>
  <c r="U87" i="7"/>
  <c r="AE87" i="7" s="1"/>
  <c r="T87" i="7"/>
  <c r="W89" i="7" s="1"/>
  <c r="X88" i="7" s="1"/>
  <c r="Y87" i="7" s="1"/>
  <c r="K80" i="7"/>
  <c r="H80" i="7"/>
  <c r="K79" i="7"/>
  <c r="H79" i="7"/>
  <c r="AH74" i="7"/>
  <c r="AG74" i="7"/>
  <c r="U74" i="7"/>
  <c r="T74" i="7"/>
  <c r="AH73" i="7"/>
  <c r="AG73" i="7"/>
  <c r="U73" i="7"/>
  <c r="T73" i="7"/>
  <c r="AH72" i="7"/>
  <c r="AG72" i="7"/>
  <c r="W72" i="7"/>
  <c r="U72" i="7"/>
  <c r="T72" i="7"/>
  <c r="AR71" i="7"/>
  <c r="AJ71" i="7"/>
  <c r="AH71" i="7"/>
  <c r="AG71" i="7"/>
  <c r="AJ73" i="7" s="1"/>
  <c r="AK72" i="7" s="1"/>
  <c r="AL71" i="7" s="1"/>
  <c r="X71" i="7"/>
  <c r="W71" i="7"/>
  <c r="U71" i="7"/>
  <c r="AE73" i="7" s="1"/>
  <c r="T71" i="7"/>
  <c r="Y73" i="7" s="1"/>
  <c r="AH69" i="7"/>
  <c r="AG69" i="7"/>
  <c r="U69" i="7"/>
  <c r="T69" i="7"/>
  <c r="AH68" i="7"/>
  <c r="AG68" i="7"/>
  <c r="W68" i="7"/>
  <c r="U68" i="7"/>
  <c r="T68" i="7"/>
  <c r="AH67" i="7"/>
  <c r="AG67" i="7"/>
  <c r="X67" i="7"/>
  <c r="Y66" i="7" s="1"/>
  <c r="W67" i="7"/>
  <c r="U67" i="7"/>
  <c r="T67" i="7"/>
  <c r="AR66" i="7"/>
  <c r="AJ66" i="7"/>
  <c r="AH66" i="7"/>
  <c r="AG66" i="7"/>
  <c r="AJ68" i="7" s="1"/>
  <c r="AK67" i="7" s="1"/>
  <c r="AL66" i="7" s="1"/>
  <c r="X66" i="7"/>
  <c r="W66" i="7"/>
  <c r="U66" i="7"/>
  <c r="AE68" i="7" s="1"/>
  <c r="T66" i="7"/>
  <c r="Y68" i="7" s="1"/>
  <c r="M59" i="7"/>
  <c r="L59" i="7"/>
  <c r="M58" i="7"/>
  <c r="L58" i="7"/>
  <c r="M57" i="7"/>
  <c r="L57" i="7"/>
  <c r="M56" i="7"/>
  <c r="L56" i="7"/>
  <c r="M55" i="7"/>
  <c r="L55" i="7"/>
  <c r="B39" i="7"/>
  <c r="B32" i="7"/>
  <c r="B30" i="7"/>
  <c r="B29" i="7"/>
  <c r="I26" i="7"/>
  <c r="H26" i="7"/>
  <c r="G26" i="7"/>
  <c r="B26" i="7"/>
  <c r="Q25" i="7" a="1"/>
  <c r="R25" i="7" s="1"/>
  <c r="K25" i="7"/>
  <c r="K25" i="7" a="1"/>
  <c r="L25" i="7" s="1"/>
  <c r="I25" i="7"/>
  <c r="H25" i="7"/>
  <c r="O25" i="7" s="1" a="1"/>
  <c r="G25" i="7"/>
  <c r="M25" i="7" s="1" a="1"/>
  <c r="M25" i="7" s="1"/>
  <c r="B25" i="7"/>
  <c r="Q24" i="7" a="1"/>
  <c r="K24" i="7"/>
  <c r="K24" i="7" a="1"/>
  <c r="L24" i="7" s="1"/>
  <c r="I24" i="7"/>
  <c r="H24" i="7"/>
  <c r="O24" i="7" s="1" a="1"/>
  <c r="G24" i="7"/>
  <c r="K23" i="7" a="1"/>
  <c r="I23" i="7"/>
  <c r="Q23" i="7" s="1" a="1"/>
  <c r="H23" i="7"/>
  <c r="O23" i="7" s="1" a="1"/>
  <c r="P23" i="7" s="1"/>
  <c r="G23" i="7"/>
  <c r="M22" i="7" a="1"/>
  <c r="L22" i="7"/>
  <c r="K22" i="7" a="1"/>
  <c r="K22" i="7" s="1"/>
  <c r="I22" i="7"/>
  <c r="H22" i="7"/>
  <c r="O22" i="7" s="1" a="1"/>
  <c r="P22" i="7" s="1"/>
  <c r="G22" i="7"/>
  <c r="R21" i="7"/>
  <c r="L21" i="7"/>
  <c r="K21" i="7"/>
  <c r="K21" i="7" a="1"/>
  <c r="I21" i="7"/>
  <c r="Q21" i="7" s="1" a="1"/>
  <c r="Q21" i="7" s="1"/>
  <c r="H21" i="7"/>
  <c r="O21" i="7" s="1" a="1"/>
  <c r="G21" i="7"/>
  <c r="M21" i="7" s="1" a="1"/>
  <c r="Q20" i="7" a="1"/>
  <c r="R20" i="7" s="1"/>
  <c r="L20" i="7"/>
  <c r="K20" i="7"/>
  <c r="K20" i="7" a="1"/>
  <c r="I20" i="7"/>
  <c r="H20" i="7"/>
  <c r="O20" i="7" s="1" a="1"/>
  <c r="G20" i="7"/>
  <c r="M19" i="7" a="1"/>
  <c r="K19" i="7"/>
  <c r="K19" i="7" a="1"/>
  <c r="L19" i="7" s="1"/>
  <c r="I19" i="7"/>
  <c r="Q19" i="7" s="1" a="1"/>
  <c r="H19" i="7"/>
  <c r="O19" i="7" s="1" a="1"/>
  <c r="P19" i="7" s="1"/>
  <c r="G19" i="7"/>
  <c r="B19" i="7"/>
  <c r="P18" i="7"/>
  <c r="M18" i="7" a="1"/>
  <c r="N18" i="7" s="1"/>
  <c r="K18" i="7" a="1"/>
  <c r="L18" i="7" s="1"/>
  <c r="I18" i="7"/>
  <c r="Q18" i="7" s="1" a="1"/>
  <c r="H18" i="7"/>
  <c r="O18" i="7" s="1" a="1"/>
  <c r="O18" i="7" s="1"/>
  <c r="G18" i="7"/>
  <c r="B18" i="7"/>
  <c r="O17" i="7"/>
  <c r="K17" i="7" a="1"/>
  <c r="I17" i="7"/>
  <c r="Q17" i="7" s="1" a="1"/>
  <c r="H17" i="7"/>
  <c r="O17" i="7" s="1" a="1"/>
  <c r="P17" i="7" s="1"/>
  <c r="G17" i="7"/>
  <c r="M17" i="7" s="1" a="1"/>
  <c r="N17" i="7" s="1"/>
  <c r="O16" i="7" a="1"/>
  <c r="K16" i="7" a="1"/>
  <c r="I16" i="7"/>
  <c r="Q16" i="7" s="1" a="1"/>
  <c r="R16" i="7" s="1"/>
  <c r="H16" i="7"/>
  <c r="G16" i="7"/>
  <c r="O15" i="7" a="1"/>
  <c r="N15" i="7"/>
  <c r="L15" i="7"/>
  <c r="K15" i="7"/>
  <c r="K15" i="7" a="1"/>
  <c r="I15" i="7"/>
  <c r="Q15" i="7" s="1" a="1"/>
  <c r="R15" i="7" s="1"/>
  <c r="H15" i="7"/>
  <c r="G15" i="7"/>
  <c r="M15" i="7" s="1" a="1"/>
  <c r="M15" i="7" s="1"/>
  <c r="Q14" i="7"/>
  <c r="Q14" i="7" a="1"/>
  <c r="R14" i="7" s="1"/>
  <c r="O14" i="7" a="1"/>
  <c r="K14" i="7" a="1"/>
  <c r="L14" i="7" s="1"/>
  <c r="I14" i="7"/>
  <c r="H14" i="7"/>
  <c r="G14" i="7"/>
  <c r="M14" i="7" s="1" a="1"/>
  <c r="M14" i="7" s="1"/>
  <c r="R13" i="7"/>
  <c r="O13" i="7"/>
  <c r="K13" i="7" a="1"/>
  <c r="L13" i="7" s="1"/>
  <c r="I13" i="7"/>
  <c r="Q13" i="7" s="1" a="1"/>
  <c r="Q13" i="7" s="1"/>
  <c r="H13" i="7"/>
  <c r="O13" i="7" s="1" a="1"/>
  <c r="P13" i="7" s="1"/>
  <c r="G13" i="7"/>
  <c r="M13" i="7" s="1" a="1"/>
  <c r="M13" i="7" s="1"/>
  <c r="B13" i="7"/>
  <c r="K12" i="7"/>
  <c r="K12" i="7" a="1"/>
  <c r="L12" i="7" s="1"/>
  <c r="I12" i="7"/>
  <c r="Q12" i="7" s="1" a="1"/>
  <c r="H12" i="7"/>
  <c r="O12" i="7" s="1" a="1"/>
  <c r="P12" i="7" s="1"/>
  <c r="G12" i="7"/>
  <c r="M12" i="7" s="1" a="1"/>
  <c r="L11" i="7"/>
  <c r="K11" i="7" a="1"/>
  <c r="K11" i="7" s="1"/>
  <c r="I11" i="7"/>
  <c r="Q11" i="7" s="1" a="1"/>
  <c r="R11" i="7" s="1"/>
  <c r="H11" i="7"/>
  <c r="O11" i="7" s="1" a="1"/>
  <c r="P11" i="7" s="1"/>
  <c r="G11" i="7"/>
  <c r="N10" i="7"/>
  <c r="M10" i="7" a="1"/>
  <c r="M10" i="7" s="1"/>
  <c r="K10" i="7" a="1"/>
  <c r="K10" i="7" s="1"/>
  <c r="I10" i="7"/>
  <c r="Q10" i="7" s="1" a="1"/>
  <c r="H10" i="7"/>
  <c r="G10" i="7"/>
  <c r="O9" i="7" a="1"/>
  <c r="P9" i="7" s="1"/>
  <c r="L9" i="7"/>
  <c r="K9" i="7"/>
  <c r="K9" i="7" a="1"/>
  <c r="I9" i="7"/>
  <c r="Q9" i="7" s="1" a="1"/>
  <c r="H9" i="7"/>
  <c r="G9" i="7"/>
  <c r="M9" i="7" s="1" a="1"/>
  <c r="Q8" i="7"/>
  <c r="Q8" i="7" a="1"/>
  <c r="R8" i="7" s="1"/>
  <c r="O8" i="7" a="1"/>
  <c r="O8" i="7" s="1"/>
  <c r="N8" i="7"/>
  <c r="K8" i="7" a="1"/>
  <c r="L8" i="7" s="1"/>
  <c r="I8" i="7"/>
  <c r="H8" i="7"/>
  <c r="G8" i="7"/>
  <c r="M8" i="7" s="1" a="1"/>
  <c r="M8" i="7" s="1"/>
  <c r="O7" i="7"/>
  <c r="K7" i="7" a="1"/>
  <c r="L7" i="7" s="1"/>
  <c r="I7" i="7"/>
  <c r="Q7" i="7" s="1" a="1"/>
  <c r="H7" i="7"/>
  <c r="O7" i="7" s="1" a="1"/>
  <c r="P7" i="7" s="1"/>
  <c r="G7" i="7"/>
  <c r="M7" i="7" s="1" a="1"/>
  <c r="R6" i="7"/>
  <c r="O6" i="7" a="1"/>
  <c r="O6" i="7" s="1"/>
  <c r="K6" i="7" a="1"/>
  <c r="K6" i="7" s="1"/>
  <c r="I6" i="7"/>
  <c r="Q6" i="7" s="1" a="1"/>
  <c r="Q6" i="7" s="1"/>
  <c r="H6" i="7"/>
  <c r="G6" i="7"/>
  <c r="O5" i="7" a="1"/>
  <c r="P5" i="7" s="1"/>
  <c r="L5" i="7"/>
  <c r="K5" i="7"/>
  <c r="K5" i="7" a="1"/>
  <c r="I5" i="7"/>
  <c r="Q5" i="7" s="1" a="1"/>
  <c r="H5" i="7"/>
  <c r="G5" i="7"/>
  <c r="M5" i="7" s="1" a="1"/>
  <c r="B4" i="7"/>
  <c r="B3" i="7"/>
  <c r="B2" i="7"/>
  <c r="B1" i="7"/>
  <c r="B41" i="5"/>
  <c r="R39" i="5"/>
  <c r="B39" i="5"/>
  <c r="B38" i="5"/>
  <c r="B36" i="5"/>
  <c r="B35" i="5"/>
  <c r="B33" i="5"/>
  <c r="B26" i="5"/>
  <c r="M26" i="5" s="1"/>
  <c r="P25" i="5"/>
  <c r="D25" i="5"/>
  <c r="C25" i="5"/>
  <c r="B25" i="5"/>
  <c r="N24" i="5"/>
  <c r="M24" i="5"/>
  <c r="B24" i="5"/>
  <c r="P24" i="5" s="1"/>
  <c r="P23" i="5"/>
  <c r="K23" i="5"/>
  <c r="I25" i="5" s="1"/>
  <c r="J23" i="5"/>
  <c r="I24" i="5" s="1"/>
  <c r="B23" i="5"/>
  <c r="R38" i="5" s="1"/>
  <c r="B22" i="5"/>
  <c r="M22" i="5" s="1"/>
  <c r="K21" i="5"/>
  <c r="G25" i="5" s="1"/>
  <c r="I21" i="5"/>
  <c r="G23" i="5" s="1"/>
  <c r="B21" i="5"/>
  <c r="G16" i="5" s="1"/>
  <c r="B20" i="5"/>
  <c r="K19" i="5"/>
  <c r="E25" i="5" s="1"/>
  <c r="J19" i="5"/>
  <c r="E24" i="5" s="1"/>
  <c r="B19" i="5"/>
  <c r="B34" i="5" s="1"/>
  <c r="K18" i="5"/>
  <c r="B18" i="5"/>
  <c r="K17" i="5"/>
  <c r="B17" i="5"/>
  <c r="K16" i="5"/>
  <c r="J16" i="5"/>
  <c r="J21" i="5" s="1"/>
  <c r="G24" i="5" s="1"/>
  <c r="I16" i="5"/>
  <c r="F16" i="5"/>
  <c r="E16" i="5"/>
  <c r="S13" i="5"/>
  <c r="Q13" i="5"/>
  <c r="O13" i="5"/>
  <c r="M13" i="5"/>
  <c r="K13" i="5"/>
  <c r="I13" i="5"/>
  <c r="G13" i="5"/>
  <c r="E13" i="5"/>
  <c r="C13" i="5"/>
  <c r="P21" i="7" l="1"/>
  <c r="O21" i="7"/>
  <c r="B32" i="5"/>
  <c r="C16" i="5"/>
  <c r="Q9" i="7"/>
  <c r="R9" i="7"/>
  <c r="O20" i="7"/>
  <c r="P20" i="7"/>
  <c r="I22" i="5"/>
  <c r="H23" i="5" s="1"/>
  <c r="I18" i="5"/>
  <c r="D23" i="5" s="1"/>
  <c r="I19" i="5"/>
  <c r="E23" i="5" s="1"/>
  <c r="I20" i="5"/>
  <c r="F23" i="5" s="1"/>
  <c r="I17" i="5"/>
  <c r="C23" i="5" s="1"/>
  <c r="M7" i="7"/>
  <c r="N7" i="7"/>
  <c r="E18" i="5"/>
  <c r="D19" i="5" s="1"/>
  <c r="E17" i="5"/>
  <c r="C19" i="5" s="1"/>
  <c r="Q7" i="7"/>
  <c r="R7" i="7"/>
  <c r="R10" i="7"/>
  <c r="Q10" i="7"/>
  <c r="M5" i="7"/>
  <c r="N5" i="7"/>
  <c r="N12" i="7"/>
  <c r="M12" i="7"/>
  <c r="Q18" i="7"/>
  <c r="R18" i="7"/>
  <c r="Q5" i="7"/>
  <c r="R5" i="7"/>
  <c r="M9" i="7"/>
  <c r="N9" i="7"/>
  <c r="Q17" i="7"/>
  <c r="R17" i="7"/>
  <c r="M21" i="7"/>
  <c r="N21" i="7"/>
  <c r="K8" i="7"/>
  <c r="M11" i="7" a="1"/>
  <c r="K13" i="7"/>
  <c r="P15" i="7"/>
  <c r="O15" i="7"/>
  <c r="Q19" i="7"/>
  <c r="R19" i="7"/>
  <c r="O19" i="7"/>
  <c r="AC89" i="7"/>
  <c r="K24" i="5"/>
  <c r="J25" i="5" s="1"/>
  <c r="K20" i="5"/>
  <c r="F25" i="5" s="1"/>
  <c r="J18" i="5"/>
  <c r="D24" i="5" s="1"/>
  <c r="J22" i="5"/>
  <c r="H24" i="5" s="1"/>
  <c r="P22" i="5"/>
  <c r="M23" i="5"/>
  <c r="P26" i="5"/>
  <c r="B37" i="5"/>
  <c r="M6" i="7" a="1"/>
  <c r="P6" i="7"/>
  <c r="P8" i="7"/>
  <c r="O9" i="7"/>
  <c r="L10" i="7"/>
  <c r="O11" i="7"/>
  <c r="Q12" i="7"/>
  <c r="R12" i="7"/>
  <c r="O12" i="7"/>
  <c r="N13" i="7"/>
  <c r="N14" i="7"/>
  <c r="Q15" i="7"/>
  <c r="Q16" i="7"/>
  <c r="O23" i="7"/>
  <c r="M17" i="7"/>
  <c r="N19" i="7"/>
  <c r="M19" i="7"/>
  <c r="O24" i="7"/>
  <c r="P24" i="7"/>
  <c r="G20" i="5"/>
  <c r="F21" i="5" s="1"/>
  <c r="F19" i="5"/>
  <c r="E20" i="5" s="1"/>
  <c r="N22" i="5"/>
  <c r="N26" i="5"/>
  <c r="R41" i="5"/>
  <c r="O5" i="7"/>
  <c r="L6" i="7"/>
  <c r="K7" i="7"/>
  <c r="K14" i="7"/>
  <c r="P16" i="7"/>
  <c r="O16" i="7"/>
  <c r="R24" i="7"/>
  <c r="Q24" i="7"/>
  <c r="AP73" i="7"/>
  <c r="D16" i="5"/>
  <c r="D17" i="5" s="1"/>
  <c r="C18" i="5" s="1"/>
  <c r="H16" i="5"/>
  <c r="L16" i="5"/>
  <c r="F17" i="5"/>
  <c r="J17" i="5"/>
  <c r="C24" i="5" s="1"/>
  <c r="J20" i="5"/>
  <c r="F24" i="5" s="1"/>
  <c r="K22" i="5"/>
  <c r="H25" i="5" s="1"/>
  <c r="N23" i="5"/>
  <c r="R40" i="5"/>
  <c r="N25" i="5"/>
  <c r="M25" i="5"/>
  <c r="R37" i="5"/>
  <c r="B40" i="5"/>
  <c r="O10" i="7" a="1"/>
  <c r="O14" i="7"/>
  <c r="P14" i="7"/>
  <c r="K16" i="7"/>
  <c r="L16" i="7"/>
  <c r="L17" i="7"/>
  <c r="K17" i="7"/>
  <c r="M18" i="7"/>
  <c r="M20" i="7" a="1"/>
  <c r="O22" i="7"/>
  <c r="Q23" i="7"/>
  <c r="R23" i="7"/>
  <c r="M24" i="7" a="1"/>
  <c r="M23" i="7" a="1"/>
  <c r="Q11" i="7"/>
  <c r="N22" i="7"/>
  <c r="M22" i="7"/>
  <c r="L23" i="7"/>
  <c r="K23" i="7"/>
  <c r="M16" i="7" a="1"/>
  <c r="K18" i="7"/>
  <c r="Q20" i="7"/>
  <c r="Q22" i="7" a="1"/>
  <c r="P25" i="7"/>
  <c r="O25" i="7"/>
  <c r="N25" i="7"/>
  <c r="AA67" i="7"/>
  <c r="Q25" i="7"/>
  <c r="AL67" i="7"/>
  <c r="AK68" i="7" s="1"/>
  <c r="AR67" i="7"/>
  <c r="AL68" i="7"/>
  <c r="AR68" i="7"/>
  <c r="AL72" i="7"/>
  <c r="AK73" i="7" s="1"/>
  <c r="AR72" i="7"/>
  <c r="AL73" i="7"/>
  <c r="AR73" i="7"/>
  <c r="Y88" i="7"/>
  <c r="X89" i="7" s="1"/>
  <c r="AE88" i="7"/>
  <c r="AK88" i="7"/>
  <c r="AB67" i="7"/>
  <c r="AN71" i="7"/>
  <c r="W73" i="7"/>
  <c r="X72" i="7" s="1"/>
  <c r="Y71" i="7" s="1"/>
  <c r="AB71" i="7" s="1"/>
  <c r="AN73" i="7"/>
  <c r="Y89" i="7"/>
  <c r="AE89" i="7"/>
  <c r="AJ67" i="7"/>
  <c r="AK66" i="7" s="1"/>
  <c r="AN67" i="7" s="1"/>
  <c r="AO71" i="7"/>
  <c r="AJ72" i="7"/>
  <c r="AK71" i="7" s="1"/>
  <c r="AN72" i="7" s="1"/>
  <c r="AO72" i="7"/>
  <c r="AO73" i="7"/>
  <c r="AE66" i="7"/>
  <c r="Y67" i="7"/>
  <c r="X68" i="7" s="1"/>
  <c r="AE67" i="7"/>
  <c r="AE71" i="7"/>
  <c r="AP71" i="7"/>
  <c r="Y72" i="7"/>
  <c r="X73" i="7" s="1"/>
  <c r="AE72" i="7"/>
  <c r="AC88" i="7"/>
  <c r="AJ88" i="7"/>
  <c r="AK87" i="7" s="1"/>
  <c r="C29" i="1"/>
  <c r="M72" i="7" l="1"/>
  <c r="M71" i="7"/>
  <c r="AP68" i="7"/>
  <c r="N20" i="7"/>
  <c r="M20" i="7"/>
  <c r="C20" i="5"/>
  <c r="G17" i="5"/>
  <c r="C21" i="5" s="1"/>
  <c r="N6" i="7"/>
  <c r="M6" i="7"/>
  <c r="AB73" i="7"/>
  <c r="AC71" i="7"/>
  <c r="N16" i="7"/>
  <c r="M16" i="7"/>
  <c r="L23" i="5"/>
  <c r="I26" i="5" s="1"/>
  <c r="L19" i="5"/>
  <c r="E26" i="5" s="1"/>
  <c r="L17" i="5"/>
  <c r="C26" i="5" s="1"/>
  <c r="L25" i="5"/>
  <c r="K26" i="5" s="1"/>
  <c r="L21" i="5"/>
  <c r="G26" i="5" s="1"/>
  <c r="L24" i="5"/>
  <c r="J26" i="5" s="1"/>
  <c r="L22" i="5"/>
  <c r="H26" i="5" s="1"/>
  <c r="L20" i="5"/>
  <c r="F26" i="5" s="1"/>
  <c r="L18" i="5"/>
  <c r="D26" i="5" s="1"/>
  <c r="AC87" i="7"/>
  <c r="AP72" i="7"/>
  <c r="M73" i="7" s="1"/>
  <c r="AP66" i="7"/>
  <c r="AO68" i="7"/>
  <c r="AO66" i="7"/>
  <c r="AA88" i="7"/>
  <c r="AN68" i="7"/>
  <c r="AB66" i="7"/>
  <c r="AC68" i="7"/>
  <c r="R22" i="7"/>
  <c r="Q22" i="7"/>
  <c r="AB89" i="7"/>
  <c r="F18" i="5"/>
  <c r="H19" i="5"/>
  <c r="E22" i="5" s="1"/>
  <c r="H21" i="5"/>
  <c r="G22" i="5" s="1"/>
  <c r="H18" i="5"/>
  <c r="D22" i="5" s="1"/>
  <c r="H17" i="5"/>
  <c r="C22" i="5" s="1"/>
  <c r="H20" i="5"/>
  <c r="F22" i="5" s="1"/>
  <c r="AB88" i="7"/>
  <c r="M17" i="5"/>
  <c r="AN87" i="7"/>
  <c r="AO88" i="7"/>
  <c r="AN88" i="7"/>
  <c r="AO87" i="7"/>
  <c r="N24" i="7"/>
  <c r="M24" i="7"/>
  <c r="P10" i="7"/>
  <c r="O10" i="7"/>
  <c r="AC67" i="7"/>
  <c r="AA73" i="7"/>
  <c r="AA72" i="7"/>
  <c r="AA71" i="7"/>
  <c r="AN66" i="7"/>
  <c r="AA68" i="7"/>
  <c r="AB68" i="7"/>
  <c r="AP67" i="7"/>
  <c r="AC72" i="7"/>
  <c r="AO67" i="7"/>
  <c r="AC66" i="7"/>
  <c r="AB87" i="7"/>
  <c r="AB72" i="7"/>
  <c r="AA66" i="7"/>
  <c r="AC73" i="7"/>
  <c r="N23" i="7"/>
  <c r="M23" i="7"/>
  <c r="AA87" i="7"/>
  <c r="AA89" i="7"/>
  <c r="N11" i="7"/>
  <c r="M11" i="7"/>
  <c r="G19" i="5"/>
  <c r="E21" i="5" s="1"/>
  <c r="C28" i="1"/>
  <c r="D17" i="1"/>
  <c r="C30" i="1" s="1"/>
  <c r="H73" i="7" l="1"/>
  <c r="H72" i="7"/>
  <c r="H71" i="7"/>
  <c r="G88" i="7"/>
  <c r="G87" i="7"/>
  <c r="G89" i="7"/>
  <c r="H68" i="7"/>
  <c r="H67" i="7"/>
  <c r="H66" i="7"/>
  <c r="M68" i="7"/>
  <c r="M67" i="7"/>
  <c r="M66" i="7"/>
  <c r="L88" i="7"/>
  <c r="L87" i="7"/>
  <c r="D20" i="5"/>
  <c r="M20" i="5" s="1"/>
  <c r="G18" i="5"/>
  <c r="D21" i="5" s="1"/>
  <c r="M18" i="5"/>
  <c r="M21" i="5"/>
  <c r="M19" i="5"/>
  <c r="C31" i="1"/>
  <c r="C35" i="1" s="1"/>
  <c r="C43" i="1"/>
  <c r="C46" i="1" s="1"/>
  <c r="D22" i="1"/>
  <c r="N20" i="5" l="1"/>
  <c r="N17" i="5"/>
  <c r="N21" i="5"/>
  <c r="N18" i="5"/>
  <c r="P18" i="5" s="1"/>
  <c r="R33" i="5" s="1"/>
  <c r="N19" i="5"/>
  <c r="C38" i="1"/>
  <c r="C39" i="1" s="1"/>
  <c r="C36" i="1"/>
  <c r="P17" i="5" l="1"/>
  <c r="R32" i="5" s="1"/>
  <c r="P21" i="5"/>
  <c r="R36" i="5" s="1"/>
  <c r="P19" i="5"/>
  <c r="R34" i="5" s="1"/>
  <c r="P20" i="5"/>
  <c r="R35" i="5" s="1"/>
  <c r="P42" i="5" l="1"/>
  <c r="L42" i="5"/>
  <c r="H42" i="5"/>
  <c r="D42" i="5"/>
  <c r="O42" i="5"/>
  <c r="J42" i="5"/>
  <c r="E42" i="5"/>
  <c r="N42" i="5"/>
  <c r="I42" i="5"/>
  <c r="C42" i="5"/>
  <c r="M42" i="5"/>
  <c r="G42" i="5"/>
  <c r="Q42" i="5"/>
  <c r="Q43" i="5" s="1"/>
  <c r="F42" i="5"/>
  <c r="K42" i="5"/>
  <c r="D43" i="5" l="1"/>
  <c r="I43" i="5"/>
  <c r="N43" i="5"/>
  <c r="K43" i="5"/>
  <c r="M43" i="5"/>
  <c r="E43" i="5"/>
  <c r="H43" i="5"/>
  <c r="O43" i="5"/>
  <c r="G43" i="5"/>
  <c r="F43" i="5"/>
  <c r="C43" i="5"/>
  <c r="J43" i="5"/>
  <c r="L43" i="5"/>
  <c r="P43" i="5"/>
</calcChain>
</file>

<file path=xl/comments1.xml><?xml version="1.0" encoding="utf-8"?>
<comments xmlns="http://schemas.openxmlformats.org/spreadsheetml/2006/main">
  <authors>
    <author>Flavio Brancato</author>
  </authors>
  <commentList>
    <comment ref="A17" authorId="0" shapeId="0">
      <text>
        <r>
          <rPr>
            <b/>
            <sz val="9"/>
            <color indexed="81"/>
            <rFont val="Tahoma"/>
            <family val="2"/>
          </rPr>
          <t>Flavio Brancato:</t>
        </r>
        <r>
          <rPr>
            <sz val="9"/>
            <color indexed="81"/>
            <rFont val="Tahoma"/>
            <family val="2"/>
          </rPr>
          <t xml:space="preserve">
Offset of the rotation axis in respect to the symmetry axis.</t>
        </r>
      </text>
    </comment>
    <comment ref="D18" authorId="0" shapeId="0">
      <text>
        <r>
          <rPr>
            <b/>
            <sz val="9"/>
            <color indexed="81"/>
            <rFont val="Tahoma"/>
            <family val="2"/>
          </rPr>
          <t>Flavio Brancato:</t>
        </r>
        <r>
          <rPr>
            <sz val="9"/>
            <color indexed="81"/>
            <rFont val="Tahoma"/>
            <family val="2"/>
          </rPr>
          <t xml:space="preserve">
Set at least 2 if you do not plan to add an encoder to operate in closed-loop mode.</t>
        </r>
      </text>
    </comment>
    <comment ref="A22" authorId="0" shapeId="0">
      <text>
        <r>
          <rPr>
            <b/>
            <sz val="9"/>
            <color indexed="81"/>
            <rFont val="Tahoma"/>
            <family val="2"/>
          </rPr>
          <t xml:space="preserve">Flavio Brancato:
</t>
        </r>
        <r>
          <rPr>
            <sz val="9"/>
            <color indexed="81"/>
            <rFont val="Tahoma"/>
            <family val="2"/>
          </rPr>
          <t>Idle time</t>
        </r>
      </text>
    </comment>
    <comment ref="A23" authorId="0" shapeId="0">
      <text>
        <r>
          <rPr>
            <b/>
            <sz val="9"/>
            <color indexed="81"/>
            <rFont val="Tahoma"/>
            <family val="2"/>
          </rPr>
          <t xml:space="preserve">Flavio Brancato: 
</t>
        </r>
        <r>
          <rPr>
            <sz val="9"/>
            <color indexed="81"/>
            <rFont val="Tahoma"/>
            <family val="2"/>
          </rPr>
          <t>Sum of mechanical losses in the system</t>
        </r>
      </text>
    </comment>
    <comment ref="D24" authorId="0" shapeId="0">
      <text>
        <r>
          <rPr>
            <b/>
            <sz val="9"/>
            <color indexed="81"/>
            <rFont val="Tahoma"/>
            <family val="2"/>
          </rPr>
          <t>Flavio Brancato:</t>
        </r>
        <r>
          <rPr>
            <sz val="9"/>
            <color indexed="81"/>
            <rFont val="Tahoma"/>
            <family val="2"/>
          </rPr>
          <t xml:space="preserve">
If left blank, the default value is 5</t>
        </r>
      </text>
    </comment>
    <comment ref="C38" authorId="0" shapeId="0">
      <text>
        <r>
          <rPr>
            <b/>
            <sz val="9"/>
            <color indexed="81"/>
            <rFont val="Tahoma"/>
            <family val="2"/>
          </rPr>
          <t>Flavio Brancato:</t>
        </r>
        <r>
          <rPr>
            <sz val="9"/>
            <color indexed="81"/>
            <rFont val="Tahoma"/>
            <family val="2"/>
          </rPr>
          <t xml:space="preserve">
Do not be alarmed if this value is neglectable when t</t>
        </r>
        <r>
          <rPr>
            <sz val="7"/>
            <color indexed="81"/>
            <rFont val="Tahoma"/>
            <family val="2"/>
          </rPr>
          <t>s</t>
        </r>
        <r>
          <rPr>
            <sz val="9"/>
            <color indexed="81"/>
            <rFont val="Tahoma"/>
            <family val="2"/>
          </rPr>
          <t xml:space="preserve"> is big, because T</t>
        </r>
        <r>
          <rPr>
            <sz val="7"/>
            <color indexed="81"/>
            <rFont val="Tahoma"/>
            <family val="2"/>
          </rPr>
          <t>rms</t>
        </r>
        <r>
          <rPr>
            <sz val="9"/>
            <color indexed="81"/>
            <rFont val="Tahoma"/>
            <family val="2"/>
          </rPr>
          <t xml:space="preserve"> is funcion of stopping time.</t>
        </r>
      </text>
    </comment>
  </commentList>
</comments>
</file>

<file path=xl/sharedStrings.xml><?xml version="1.0" encoding="utf-8"?>
<sst xmlns="http://schemas.openxmlformats.org/spreadsheetml/2006/main" count="466" uniqueCount="335">
  <si>
    <t>M</t>
  </si>
  <si>
    <t xml:space="preserve">kg/m^2 </t>
  </si>
  <si>
    <t>kg/m^3</t>
  </si>
  <si>
    <t>Lenght of the panel</t>
  </si>
  <si>
    <t>m</t>
  </si>
  <si>
    <t>Height of the panel</t>
  </si>
  <si>
    <t>Thickness of the panel</t>
  </si>
  <si>
    <t>kg</t>
  </si>
  <si>
    <t>kg*m^2</t>
  </si>
  <si>
    <t>°</t>
  </si>
  <si>
    <t>s</t>
  </si>
  <si>
    <t>rad/min</t>
  </si>
  <si>
    <t>N*m</t>
  </si>
  <si>
    <t>mN*m</t>
  </si>
  <si>
    <t>ρ</t>
  </si>
  <si>
    <t>b</t>
  </si>
  <si>
    <t>a</t>
  </si>
  <si>
    <t>t</t>
  </si>
  <si>
    <t>r</t>
  </si>
  <si>
    <t>n</t>
  </si>
  <si>
    <t>θ</t>
  </si>
  <si>
    <r>
      <t>t</t>
    </r>
    <r>
      <rPr>
        <sz val="8"/>
        <color theme="1"/>
        <rFont val="Calibri"/>
        <family val="2"/>
        <scheme val="minor"/>
      </rPr>
      <t>0</t>
    </r>
  </si>
  <si>
    <r>
      <t>t</t>
    </r>
    <r>
      <rPr>
        <sz val="8"/>
        <color theme="1"/>
        <rFont val="Calibri"/>
        <family val="2"/>
        <scheme val="minor"/>
      </rPr>
      <t>1</t>
    </r>
  </si>
  <si>
    <r>
      <t>t</t>
    </r>
    <r>
      <rPr>
        <sz val="8"/>
        <color theme="1"/>
        <rFont val="Calibri"/>
        <family val="2"/>
        <scheme val="minor"/>
      </rPr>
      <t>s</t>
    </r>
  </si>
  <si>
    <r>
      <t>T</t>
    </r>
    <r>
      <rPr>
        <sz val="8"/>
        <color theme="1"/>
        <rFont val="Calibri"/>
        <family val="2"/>
        <scheme val="minor"/>
      </rPr>
      <t>L</t>
    </r>
  </si>
  <si>
    <t>Final positioning angle</t>
  </si>
  <si>
    <t>Total positioning time</t>
  </si>
  <si>
    <t>Acceleration/deceleration time</t>
  </si>
  <si>
    <t>Stopping time</t>
  </si>
  <si>
    <t>Load Torque</t>
  </si>
  <si>
    <t>V</t>
  </si>
  <si>
    <t>Mass of the panel</t>
  </si>
  <si>
    <r>
      <t>J</t>
    </r>
    <r>
      <rPr>
        <sz val="8"/>
        <color theme="1"/>
        <rFont val="Calibri"/>
        <family val="2"/>
        <scheme val="minor"/>
      </rPr>
      <t>L</t>
    </r>
  </si>
  <si>
    <t>T</t>
  </si>
  <si>
    <r>
      <t>T</t>
    </r>
    <r>
      <rPr>
        <sz val="8"/>
        <color theme="1"/>
        <rFont val="Calibri"/>
        <family val="2"/>
        <scheme val="minor"/>
      </rPr>
      <t>a</t>
    </r>
  </si>
  <si>
    <t>Acceleration torque</t>
  </si>
  <si>
    <t>Required torque</t>
  </si>
  <si>
    <t>Load inertia</t>
  </si>
  <si>
    <r>
      <t>T</t>
    </r>
    <r>
      <rPr>
        <sz val="8"/>
        <color theme="1"/>
        <rFont val="Calibri"/>
        <family val="2"/>
        <scheme val="minor"/>
      </rPr>
      <t>RMS</t>
    </r>
  </si>
  <si>
    <t>Root mean square torque</t>
  </si>
  <si>
    <t>Density of panel material</t>
  </si>
  <si>
    <t>Solar cell weight per unit surface</t>
  </si>
  <si>
    <t>Required speed</t>
  </si>
  <si>
    <t>INPUT</t>
  </si>
  <si>
    <t>OUTPUT</t>
  </si>
  <si>
    <t>CALCULATIONS</t>
  </si>
  <si>
    <t xml:space="preserve">Safety factor </t>
  </si>
  <si>
    <t>Intertia ratio</t>
  </si>
  <si>
    <t>INERTIA RATIO CALCULATOR</t>
  </si>
  <si>
    <t>Rotor inertia</t>
  </si>
  <si>
    <t>Gear ratio</t>
  </si>
  <si>
    <t>i</t>
  </si>
  <si>
    <r>
      <t>J</t>
    </r>
    <r>
      <rPr>
        <sz val="8"/>
        <color theme="1"/>
        <rFont val="Calibri"/>
        <family val="2"/>
        <scheme val="minor"/>
      </rPr>
      <t>O</t>
    </r>
  </si>
  <si>
    <t>Offset</t>
  </si>
  <si>
    <t>Inertia ratio</t>
  </si>
  <si>
    <t>Solar array surface</t>
  </si>
  <si>
    <t>m^2</t>
  </si>
  <si>
    <t>S</t>
  </si>
  <si>
    <t>Name</t>
  </si>
  <si>
    <t>Date</t>
  </si>
  <si>
    <t>File version</t>
  </si>
  <si>
    <t>Sheet Name</t>
  </si>
  <si>
    <t>Change</t>
  </si>
  <si>
    <t>Reason for Change</t>
  </si>
  <si>
    <t>Loris Franchi</t>
  </si>
  <si>
    <t>Trade-off table</t>
  </si>
  <si>
    <t>Version 1.4</t>
  </si>
  <si>
    <t>1. Fill in the names of the trade-off parameters in the green priority list. Leave empty if no parameter</t>
  </si>
  <si>
    <t>&gt;</t>
  </si>
  <si>
    <t>R. Biesbroek</t>
  </si>
  <si>
    <t xml:space="preserve">2. Rank the parameters in order of priority and indicate if a parameter is more important (&gt;) or equally important (=) than the next one. </t>
  </si>
  <si>
    <t>=</t>
  </si>
  <si>
    <t>TEC-SYE</t>
  </si>
  <si>
    <t>This will automatically create the weight factor definition table.  (replace them if you do not agree with the outcome)</t>
  </si>
  <si>
    <t>3. Define the options e.g. replace 'text 1' by 'chemical propulsion platform'</t>
  </si>
  <si>
    <t>Politecnico di Torino</t>
  </si>
  <si>
    <t>4. Fill in the trade-off table by assigning a score to each option for each key trade-off parameter. Use the same scale, e.g. 1 to 5</t>
  </si>
  <si>
    <t>5. The bottom row will give the ranking of the options, taking into account the weight factors</t>
  </si>
  <si>
    <t>Please fill in only the GREEN parts in the tables!</t>
  </si>
  <si>
    <t>Please insert trade-off parameter names  in the green list and select condition ('&gt;' or '=')from the drop-down menu's: (order in terms of decreasing importance)</t>
  </si>
  <si>
    <t>Parameter1</t>
  </si>
  <si>
    <t>parameter2</t>
  </si>
  <si>
    <t>parameter3</t>
  </si>
  <si>
    <t>parameter4</t>
  </si>
  <si>
    <t>parameter5</t>
  </si>
  <si>
    <t>parameter6</t>
  </si>
  <si>
    <t>parameter7</t>
  </si>
  <si>
    <t>parameter8</t>
  </si>
  <si>
    <t>parameter9</t>
  </si>
  <si>
    <t>parameter10</t>
  </si>
  <si>
    <t>Priority List</t>
  </si>
  <si>
    <t>Mass</t>
  </si>
  <si>
    <t>Cost</t>
  </si>
  <si>
    <t>Power</t>
  </si>
  <si>
    <t>Equilibrium temperature</t>
  </si>
  <si>
    <t>E</t>
  </si>
  <si>
    <t>Value:</t>
  </si>
  <si>
    <t>Key trade-off parameters &amp; weight factor definition. This table is automatically produced and requires no inputs</t>
  </si>
  <si>
    <t>Weight factor
definition
table</t>
  </si>
  <si>
    <t>Key trade-off Parameter</t>
  </si>
  <si>
    <t>Total score</t>
  </si>
  <si>
    <t>Scaled score
(&gt;=1)</t>
  </si>
  <si>
    <t>Weight factor 
(0..1)</t>
  </si>
  <si>
    <t>Trade-off table. Please define the option names, and fill in the score for each option, for each parameter. The bottom row will show the ranking</t>
  </si>
  <si>
    <t>Options
definition:</t>
  </si>
  <si>
    <t>Option 1</t>
  </si>
  <si>
    <t>Option 2</t>
  </si>
  <si>
    <t>Option 3</t>
  </si>
  <si>
    <t>Option 4</t>
  </si>
  <si>
    <t>Option 5</t>
  </si>
  <si>
    <t>Option 6</t>
  </si>
  <si>
    <t>Option 7</t>
  </si>
  <si>
    <t>Option 8</t>
  </si>
  <si>
    <t>Option 9</t>
  </si>
  <si>
    <t>Option 10</t>
  </si>
  <si>
    <t>Option 11</t>
  </si>
  <si>
    <t>Option 12</t>
  </si>
  <si>
    <t>Option 13</t>
  </si>
  <si>
    <t>Option 14</t>
  </si>
  <si>
    <t>Option 15</t>
  </si>
  <si>
    <t>Weight
Factor
(1..10)</t>
  </si>
  <si>
    <t>text 1</t>
  </si>
  <si>
    <t>text 2</t>
  </si>
  <si>
    <t>text 3</t>
  </si>
  <si>
    <t>text 4</t>
  </si>
  <si>
    <t>text 5</t>
  </si>
  <si>
    <t>text 6</t>
  </si>
  <si>
    <t>text 7</t>
  </si>
  <si>
    <t>text 8</t>
  </si>
  <si>
    <t>text 9</t>
  </si>
  <si>
    <t>text 10</t>
  </si>
  <si>
    <t>text 11</t>
  </si>
  <si>
    <t>text 12</t>
  </si>
  <si>
    <t>text 13</t>
  </si>
  <si>
    <t>text 14</t>
  </si>
  <si>
    <t>text 15</t>
  </si>
  <si>
    <t>Ranking</t>
  </si>
  <si>
    <t>Add options and parameters to Radar Chart:</t>
  </si>
  <si>
    <t>1. Right click on the radar chart</t>
  </si>
  <si>
    <t xml:space="preserve">2. Click on select data </t>
  </si>
  <si>
    <t>3. In horizontal axes label select or unselect the parameters that will be displayed</t>
  </si>
  <si>
    <t xml:space="preserve">4. in legend entries click add </t>
  </si>
  <si>
    <t>5. Select option name ( row 30 column x ) as series name</t>
  </si>
  <si>
    <t>6. select the value of each parameter related to the option for values</t>
  </si>
  <si>
    <t>Speed of Light</t>
  </si>
  <si>
    <t>m/s</t>
  </si>
  <si>
    <t>For constants please refere to Space mission analysis and design third edition</t>
  </si>
  <si>
    <t>Planck's Constant</t>
  </si>
  <si>
    <t>W-s^2</t>
  </si>
  <si>
    <t>Boltzmann's Constant</t>
  </si>
  <si>
    <t>W-s/K</t>
  </si>
  <si>
    <t>Drag Table</t>
  </si>
  <si>
    <t>Density</t>
  </si>
  <si>
    <t xml:space="preserve"> </t>
  </si>
  <si>
    <t>Curve Fit Coefficients</t>
  </si>
  <si>
    <t>Stefan-Boltzmann Constant</t>
  </si>
  <si>
    <t>W/m^2/K^4</t>
  </si>
  <si>
    <t>Altitude</t>
  </si>
  <si>
    <t>Scale Height</t>
  </si>
  <si>
    <t>Min</t>
  </si>
  <si>
    <t>Mean</t>
  </si>
  <si>
    <t>Max</t>
  </si>
  <si>
    <t>Sun - Gravitational Constant</t>
  </si>
  <si>
    <t>km^3/sec^2</t>
  </si>
  <si>
    <t>Radius of Earth Orbit around the Sun</t>
  </si>
  <si>
    <t>km</t>
  </si>
  <si>
    <t>Earth - Orbital Period</t>
  </si>
  <si>
    <t>days</t>
  </si>
  <si>
    <t>Earth - Radius</t>
  </si>
  <si>
    <t>Earth - Gravitational Constant</t>
  </si>
  <si>
    <t>Earth - Sidereal Day</t>
  </si>
  <si>
    <t>hours</t>
  </si>
  <si>
    <t>Earth - Solar Day</t>
  </si>
  <si>
    <t>Radius of Planet Orbit around the Sun</t>
  </si>
  <si>
    <t>Planet - Orbital Period</t>
  </si>
  <si>
    <t>Planet - Radius</t>
  </si>
  <si>
    <t>Planet - Gravitational Constant</t>
  </si>
  <si>
    <t>Planet - J2</t>
  </si>
  <si>
    <t>Planet - Moon Node Precession Coefficient</t>
  </si>
  <si>
    <t>Planet - Sun Node Precession Coefficient</t>
  </si>
  <si>
    <t>Planet - Moon Perigee Rotation Coefficient</t>
  </si>
  <si>
    <t>Planet - Sun Perigee Rotation Coefficient</t>
  </si>
  <si>
    <t>Planet - Sidereal Day</t>
  </si>
  <si>
    <t>Planet - Solar Day</t>
  </si>
  <si>
    <t>Planet - Velocity at Equator</t>
  </si>
  <si>
    <t>Planet - Magnetic Moment</t>
  </si>
  <si>
    <t>tesla-m^2</t>
  </si>
  <si>
    <t>Planet - Maximum IR Emission</t>
  </si>
  <si>
    <t>W/m^2</t>
  </si>
  <si>
    <t>Mass Distribution for Selected Spacecraft</t>
  </si>
  <si>
    <t>Planets Data</t>
  </si>
  <si>
    <t>AU</t>
  </si>
  <si>
    <t>Max_IR</t>
  </si>
  <si>
    <t>Min_IR</t>
  </si>
  <si>
    <t>Albedo</t>
  </si>
  <si>
    <t>Mu</t>
  </si>
  <si>
    <t>Radius</t>
  </si>
  <si>
    <t>J2</t>
  </si>
  <si>
    <t>Period Around the Sun</t>
  </si>
  <si>
    <t>Orbital Period</t>
  </si>
  <si>
    <t>Magnetic Moment</t>
  </si>
  <si>
    <t>Planet - Minimum IR Emission</t>
  </si>
  <si>
    <t>Percentage of</t>
  </si>
  <si>
    <t>Mercury</t>
  </si>
  <si>
    <t>Planet - Maximum Solar Flux</t>
  </si>
  <si>
    <t>S/C dry mass</t>
  </si>
  <si>
    <t>Venus</t>
  </si>
  <si>
    <t>Planet - Albedo</t>
  </si>
  <si>
    <t>Payload</t>
  </si>
  <si>
    <t>TT&amp;C</t>
  </si>
  <si>
    <t>Earth</t>
  </si>
  <si>
    <t>Planet - Average Solar Flux</t>
  </si>
  <si>
    <t>Structure</t>
  </si>
  <si>
    <t>ADCS</t>
  </si>
  <si>
    <t>Moon</t>
  </si>
  <si>
    <t>Planet - Percent of Earth's Atmosphere</t>
  </si>
  <si>
    <t>Thermal</t>
  </si>
  <si>
    <t>Propulsion</t>
  </si>
  <si>
    <t>Mars</t>
  </si>
  <si>
    <t>Jupiter</t>
  </si>
  <si>
    <t>Saturn</t>
  </si>
  <si>
    <t>Rain Temperature</t>
  </si>
  <si>
    <t>K</t>
  </si>
  <si>
    <t>Uranus</t>
  </si>
  <si>
    <t>Typical Power Consumption</t>
  </si>
  <si>
    <t>Neptune</t>
  </si>
  <si>
    <t>Conversion from inches to meters</t>
  </si>
  <si>
    <t>Percent of Operating Power</t>
  </si>
  <si>
    <t>Pluto/Charon</t>
  </si>
  <si>
    <t>Attitude Control</t>
  </si>
  <si>
    <t>Communications</t>
  </si>
  <si>
    <t>C&amp;DH</t>
  </si>
  <si>
    <t xml:space="preserve">ADCS Sensor Sizing </t>
  </si>
  <si>
    <t>% between</t>
  </si>
  <si>
    <t>Min Mass</t>
  </si>
  <si>
    <t>Max Mass</t>
  </si>
  <si>
    <t>Min Power</t>
  </si>
  <si>
    <t>Max Power</t>
  </si>
  <si>
    <t>min &amp; max</t>
  </si>
  <si>
    <t>Mass (kg)</t>
  </si>
  <si>
    <t>Power (W)</t>
  </si>
  <si>
    <t>Earth Sensor</t>
  </si>
  <si>
    <t>Sun Sensor</t>
  </si>
  <si>
    <t>Star Sensor</t>
  </si>
  <si>
    <t>Magnetometer</t>
  </si>
  <si>
    <t>Gyroscope</t>
  </si>
  <si>
    <t xml:space="preserve">Communications - Amplifiers  </t>
  </si>
  <si>
    <t>Output</t>
  </si>
  <si>
    <t>Input</t>
  </si>
  <si>
    <t>Curve Fit</t>
  </si>
  <si>
    <t>DT D</t>
  </si>
  <si>
    <t>(DT D)^-1</t>
  </si>
  <si>
    <t>DT y</t>
  </si>
  <si>
    <t>Coefficients</t>
  </si>
  <si>
    <t>SSPA</t>
  </si>
  <si>
    <t>TWTA</t>
  </si>
  <si>
    <t xml:space="preserve">Secondary Batteries - Depth-of-Discharge vs. Cycle Life  </t>
  </si>
  <si>
    <t>Nickel-Hydrogen</t>
  </si>
  <si>
    <t xml:space="preserve">DOD = </t>
  </si>
  <si>
    <t>log10(cycles)</t>
  </si>
  <si>
    <t>+</t>
  </si>
  <si>
    <t>Nickel-Cadmium</t>
  </si>
  <si>
    <t xml:space="preserve">Buckling Coefficient </t>
  </si>
  <si>
    <t>For cylinder variable below 300</t>
  </si>
  <si>
    <t>For cylinder variable at or above 300</t>
  </si>
  <si>
    <t>Cylinder</t>
  </si>
  <si>
    <t>Buckling</t>
  </si>
  <si>
    <t>Variable</t>
  </si>
  <si>
    <t>Coeff</t>
  </si>
  <si>
    <t>Inflation Factors</t>
  </si>
  <si>
    <t>Fiscal</t>
  </si>
  <si>
    <t>Inflation</t>
  </si>
  <si>
    <t>Year</t>
  </si>
  <si>
    <t>Factor to</t>
  </si>
  <si>
    <t>Base Year 2000</t>
  </si>
  <si>
    <t xml:space="preserve">Small Satellite Cost Breakdown  </t>
  </si>
  <si>
    <t>Fraction of</t>
  </si>
  <si>
    <t>Non-Recurring</t>
  </si>
  <si>
    <t>Recurring</t>
  </si>
  <si>
    <t>C&amp;DH Typical SLOC</t>
  </si>
  <si>
    <t>S/C Bus Cost</t>
  </si>
  <si>
    <t>Percentage</t>
  </si>
  <si>
    <t>CSC(Computer software componets)</t>
  </si>
  <si>
    <t>SLOC</t>
  </si>
  <si>
    <t>Spacecraft Bus</t>
  </si>
  <si>
    <t>Communication</t>
  </si>
  <si>
    <t>Command Processing</t>
  </si>
  <si>
    <t>Telemetry processing</t>
  </si>
  <si>
    <t>Telemetry processing (with compression)</t>
  </si>
  <si>
    <t>Integration Assembly &amp; Test</t>
  </si>
  <si>
    <t>AOCS (sensors)</t>
  </si>
  <si>
    <t>Program Level</t>
  </si>
  <si>
    <t>Rate Gyro</t>
  </si>
  <si>
    <t>Ground Support Equipment</t>
  </si>
  <si>
    <t>Launch &amp; Orbital Ops Support</t>
  </si>
  <si>
    <t>Magnetormeter</t>
  </si>
  <si>
    <t>Star Tracker (no id)</t>
  </si>
  <si>
    <t xml:space="preserve">Heritage Cost Factors  </t>
  </si>
  <si>
    <t>Star tracker output quaternion</t>
  </si>
  <si>
    <t>GPS(Position/velocity)</t>
  </si>
  <si>
    <t>New design with advanced development</t>
  </si>
  <si>
    <t>GPS(Pseudo Range)</t>
  </si>
  <si>
    <t>Nominal new design</t>
  </si>
  <si>
    <t>Major modification to existing design</t>
  </si>
  <si>
    <t>Moderate modifications to existing design</t>
  </si>
  <si>
    <t>Basically existing design</t>
  </si>
  <si>
    <t>AOCS</t>
  </si>
  <si>
    <t>Kintetik integration</t>
  </si>
  <si>
    <t>Kalman Filter</t>
  </si>
  <si>
    <t>Error Determination</t>
  </si>
  <si>
    <t>Process Control</t>
  </si>
  <si>
    <t>Ephemerisis Propagator</t>
  </si>
  <si>
    <t>Complex Ephemerisis</t>
  </si>
  <si>
    <t>Orbit Propagator (Linear)</t>
  </si>
  <si>
    <t>Orbit Propagator (Complex Envirolment)</t>
  </si>
  <si>
    <t>Actuator</t>
  </si>
  <si>
    <t>Magnetic control</t>
  </si>
  <si>
    <t>Thruster Control</t>
  </si>
  <si>
    <t>Reaction wheel control</t>
  </si>
  <si>
    <t>CMG control</t>
  </si>
  <si>
    <t>FDIR</t>
  </si>
  <si>
    <t>Monitor</t>
  </si>
  <si>
    <t>Fault identification</t>
  </si>
  <si>
    <t>Fault Correction</t>
  </si>
  <si>
    <t>Utilites</t>
  </si>
  <si>
    <t>Basic Math</t>
  </si>
  <si>
    <t>Trascendental Math</t>
  </si>
  <si>
    <t>Matrix Math</t>
  </si>
  <si>
    <t>Time Mng and conversion</t>
  </si>
  <si>
    <t>Coordinate conversion</t>
  </si>
  <si>
    <t>Other</t>
  </si>
  <si>
    <t>Momentum Mng</t>
  </si>
  <si>
    <t>Power Mng</t>
  </si>
  <si>
    <t>Thermal Control</t>
  </si>
  <si>
    <t xml:space="preserve">INPUT from OCDT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</si>
</sst>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0"/>
    <numFmt numFmtId="165" formatCode="0.0"/>
    <numFmt numFmtId="166" formatCode="0.0000E+00"/>
    <numFmt numFmtId="167" formatCode="0.000E+00"/>
    <numFmt numFmtId="168" formatCode="0.0000"/>
    <numFmt numFmtId="169" formatCode="0.0%"/>
  </numFmts>
  <fonts count="26" x14ac:knownFonts="1">
    <font>
      <sz val="11"/>
      <color theme="1"/>
      <name val="Calibri"/>
      <family val="2"/>
      <scheme val="minor"/>
    </font>
    <font>
      <b/>
      <sz val="11"/>
      <color theme="1"/>
      <name val="Calibri"/>
      <family val="2"/>
      <scheme val="minor"/>
    </font>
    <font>
      <sz val="8"/>
      <color theme="1"/>
      <name val="Calibri"/>
      <family val="2"/>
      <scheme val="minor"/>
    </font>
    <font>
      <sz val="11"/>
      <color theme="1"/>
      <name val="Times New Roman"/>
      <family val="1"/>
    </font>
    <font>
      <sz val="9"/>
      <color indexed="81"/>
      <name val="Tahoma"/>
      <family val="2"/>
    </font>
    <font>
      <b/>
      <sz val="9"/>
      <color indexed="81"/>
      <name val="Tahoma"/>
      <family val="2"/>
    </font>
    <font>
      <sz val="7"/>
      <color indexed="81"/>
      <name val="Tahoma"/>
      <family val="2"/>
    </font>
    <font>
      <sz val="11"/>
      <color theme="1"/>
      <name val="Calibri"/>
      <family val="2"/>
      <scheme val="minor"/>
    </font>
    <font>
      <sz val="10"/>
      <name val="Times New Roman"/>
      <family val="1"/>
    </font>
    <font>
      <sz val="16"/>
      <name val="Times New Roman"/>
      <family val="1"/>
    </font>
    <font>
      <b/>
      <sz val="18"/>
      <color theme="1"/>
      <name val="Calibri"/>
      <family val="2"/>
      <scheme val="minor"/>
    </font>
    <font>
      <i/>
      <sz val="11"/>
      <color theme="1"/>
      <name val="Calibri"/>
      <family val="2"/>
      <scheme val="minor"/>
    </font>
    <font>
      <b/>
      <i/>
      <sz val="11"/>
      <color theme="4" tint="-0.499984740745262"/>
      <name val="Calibri"/>
      <family val="2"/>
      <scheme val="minor"/>
    </font>
    <font>
      <sz val="11"/>
      <color indexed="8"/>
      <name val="Georgia"/>
      <family val="2"/>
    </font>
    <font>
      <sz val="11"/>
      <color indexed="9"/>
      <name val="Georgia"/>
      <family val="2"/>
    </font>
    <font>
      <sz val="11"/>
      <color rgb="FF000000"/>
      <name val="Georgia"/>
      <family val="2"/>
    </font>
    <font>
      <b/>
      <sz val="10"/>
      <name val="Segoe UI"/>
      <family val="2"/>
    </font>
    <font>
      <sz val="10"/>
      <name val="Segoe UI"/>
      <family val="2"/>
    </font>
    <font>
      <b/>
      <sz val="22"/>
      <name val="Segoe UI"/>
      <family val="2"/>
    </font>
    <font>
      <i/>
      <sz val="10"/>
      <name val="Segoe UI"/>
      <family val="2"/>
    </font>
    <font>
      <i/>
      <sz val="9"/>
      <name val="Segoe UI"/>
      <family val="2"/>
    </font>
    <font>
      <sz val="11"/>
      <name val="Times New Roman"/>
      <family val="1"/>
    </font>
    <font>
      <sz val="8"/>
      <name val="Segoe UI"/>
      <family val="2"/>
    </font>
    <font>
      <b/>
      <sz val="8"/>
      <name val="Segoe UI"/>
      <family val="2"/>
    </font>
    <font>
      <b/>
      <i/>
      <sz val="8"/>
      <name val="Segoe UI"/>
      <family val="2"/>
    </font>
    <font>
      <b/>
      <sz val="11"/>
      <name val="Times New Roman"/>
      <family val="1"/>
    </font>
  </fonts>
  <fills count="18">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indexed="62"/>
        <bgColor indexed="64"/>
      </patternFill>
    </fill>
    <fill>
      <patternFill patternType="solid">
        <fgColor indexed="44"/>
        <bgColor indexed="64"/>
      </patternFill>
    </fill>
    <fill>
      <gradientFill degree="270">
        <stop position="0">
          <color theme="6" tint="0.80001220740379042"/>
        </stop>
        <stop position="1">
          <color theme="6" tint="-0.25098422193060094"/>
        </stop>
      </gradientFill>
    </fill>
    <fill>
      <gradientFill degree="270">
        <stop position="0">
          <color theme="8" tint="0.80001220740379042"/>
        </stop>
        <stop position="1">
          <color theme="8" tint="-0.25098422193060094"/>
        </stop>
      </gradientFill>
    </fill>
    <fill>
      <gradientFill degree="270">
        <stop position="0">
          <color theme="7" tint="0.80001220740379042"/>
        </stop>
        <stop position="1">
          <color theme="7" tint="-0.25098422193060094"/>
        </stop>
      </gradientFill>
    </fill>
    <fill>
      <patternFill patternType="solid">
        <fgColor theme="4" tint="-0.249977111117893"/>
        <bgColor indexed="64"/>
      </patternFill>
    </fill>
    <fill>
      <patternFill patternType="solid">
        <fgColor theme="7" tint="0.39997558519241921"/>
        <bgColor indexed="64"/>
      </patternFill>
    </fill>
    <fill>
      <patternFill patternType="solid">
        <fgColor rgb="FFFFFF00"/>
        <bgColor auto="1"/>
      </patternFill>
    </fill>
    <fill>
      <patternFill patternType="solid">
        <fgColor rgb="FFFFFF99"/>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thin">
        <color indexed="64"/>
      </right>
      <top style="thin">
        <color indexed="64"/>
      </top>
      <bottom style="thin">
        <color indexed="64"/>
      </bottom>
      <diagonal/>
    </border>
    <border>
      <left/>
      <right/>
      <top style="thick">
        <color theme="8" tint="-0.249977111117893"/>
      </top>
      <bottom/>
      <diagonal/>
    </border>
    <border>
      <left/>
      <right/>
      <top style="thick">
        <color theme="7" tint="-0.249977111117893"/>
      </top>
      <bottom/>
      <diagonal/>
    </border>
    <border>
      <left style="medium">
        <color indexed="64"/>
      </left>
      <right/>
      <top style="thick">
        <color theme="8" tint="-0.249977111117893"/>
      </top>
      <bottom/>
      <diagonal/>
    </border>
    <border>
      <left/>
      <right style="medium">
        <color indexed="64"/>
      </right>
      <top style="thick">
        <color theme="8" tint="-0.249977111117893"/>
      </top>
      <bottom/>
      <diagonal/>
    </border>
    <border>
      <left style="medium">
        <color indexed="64"/>
      </left>
      <right/>
      <top style="thick">
        <color theme="7" tint="-0.249977111117893"/>
      </top>
      <bottom/>
      <diagonal/>
    </border>
    <border>
      <left/>
      <right style="medium">
        <color indexed="64"/>
      </right>
      <top style="thick">
        <color theme="7" tint="-0.249977111117893"/>
      </top>
      <bottom/>
      <diagonal/>
    </border>
  </borders>
  <cellStyleXfs count="7">
    <xf numFmtId="0" fontId="0" fillId="0" borderId="0"/>
    <xf numFmtId="0" fontId="8" fillId="0" borderId="0"/>
    <xf numFmtId="0" fontId="7" fillId="0" borderId="0"/>
    <xf numFmtId="0" fontId="13" fillId="0" borderId="0" applyProtection="0"/>
    <xf numFmtId="0" fontId="13" fillId="0" borderId="0" applyProtection="0"/>
    <xf numFmtId="0" fontId="15" fillId="0" borderId="0" applyProtection="0"/>
    <xf numFmtId="9" fontId="21" fillId="0" borderId="0" applyFont="0" applyFill="0" applyBorder="0" applyAlignment="0" applyProtection="0"/>
  </cellStyleXfs>
  <cellXfs count="267">
    <xf numFmtId="0" fontId="0" fillId="0" borderId="0" xfId="0"/>
    <xf numFmtId="0" fontId="8" fillId="0" borderId="0" xfId="1"/>
    <xf numFmtId="0" fontId="9" fillId="2" borderId="5" xfId="1" applyFont="1" applyFill="1" applyBorder="1" applyAlignment="1">
      <alignment horizontal="center"/>
    </xf>
    <xf numFmtId="0" fontId="9" fillId="2" borderId="6" xfId="1" applyFont="1" applyFill="1" applyBorder="1" applyAlignment="1">
      <alignment horizontal="center"/>
    </xf>
    <xf numFmtId="0" fontId="8" fillId="0" borderId="0" xfId="1" applyAlignment="1">
      <alignment wrapText="1"/>
    </xf>
    <xf numFmtId="0" fontId="8" fillId="0" borderId="0" xfId="1" applyAlignment="1">
      <alignment horizontal="center" vertical="center" wrapText="1"/>
    </xf>
    <xf numFmtId="0" fontId="7" fillId="3" borderId="0" xfId="2" applyFill="1"/>
    <xf numFmtId="0" fontId="10" fillId="3" borderId="0" xfId="2" applyFont="1" applyFill="1"/>
    <xf numFmtId="0" fontId="7" fillId="3" borderId="0" xfId="2" applyFont="1" applyFill="1"/>
    <xf numFmtId="0" fontId="1" fillId="3" borderId="0" xfId="2" applyFont="1" applyFill="1"/>
    <xf numFmtId="0" fontId="11" fillId="3" borderId="0" xfId="2" applyFont="1" applyFill="1"/>
    <xf numFmtId="0" fontId="12" fillId="4" borderId="2" xfId="2" applyFont="1" applyFill="1" applyBorder="1" applyAlignment="1">
      <alignment horizontal="center" vertical="center" wrapText="1"/>
    </xf>
    <xf numFmtId="0" fontId="7" fillId="5" borderId="7" xfId="2" applyFont="1" applyFill="1" applyBorder="1" applyAlignment="1">
      <alignment horizontal="center"/>
    </xf>
    <xf numFmtId="0" fontId="7" fillId="5" borderId="7" xfId="2" applyFill="1" applyBorder="1" applyAlignment="1">
      <alignment horizontal="center"/>
    </xf>
    <xf numFmtId="0" fontId="7" fillId="5" borderId="8" xfId="2" applyFill="1" applyBorder="1" applyAlignment="1">
      <alignment horizontal="center"/>
    </xf>
    <xf numFmtId="0" fontId="7" fillId="6" borderId="2" xfId="2" applyFill="1" applyBorder="1"/>
    <xf numFmtId="0" fontId="7" fillId="6" borderId="9" xfId="2" applyFill="1" applyBorder="1"/>
    <xf numFmtId="0" fontId="7" fillId="6" borderId="10" xfId="2" applyFill="1" applyBorder="1"/>
    <xf numFmtId="0" fontId="7" fillId="4" borderId="2" xfId="2" applyFont="1" applyFill="1" applyBorder="1" applyAlignment="1">
      <alignment wrapText="1"/>
    </xf>
    <xf numFmtId="0" fontId="7" fillId="4" borderId="7" xfId="2" applyFill="1" applyBorder="1" applyAlignment="1">
      <alignment horizontal="center" textRotation="90"/>
    </xf>
    <xf numFmtId="0" fontId="1" fillId="4" borderId="2" xfId="2" applyFont="1" applyFill="1" applyBorder="1" applyAlignment="1">
      <alignment horizontal="center" textRotation="90"/>
    </xf>
    <xf numFmtId="0" fontId="7" fillId="4" borderId="11" xfId="2" applyFill="1" applyBorder="1" applyAlignment="1">
      <alignment horizontal="center" vertical="center" wrapText="1"/>
    </xf>
    <xf numFmtId="0" fontId="7" fillId="4" borderId="12" xfId="2" applyFill="1" applyBorder="1"/>
    <xf numFmtId="0" fontId="1" fillId="4" borderId="13" xfId="2" applyFont="1" applyFill="1" applyBorder="1"/>
    <xf numFmtId="0" fontId="7" fillId="7" borderId="14" xfId="2" applyFill="1" applyBorder="1" applyAlignment="1">
      <alignment horizontal="center" vertical="center"/>
    </xf>
    <xf numFmtId="0" fontId="7" fillId="8" borderId="15" xfId="2" applyFill="1" applyBorder="1" applyAlignment="1">
      <alignment horizontal="center" vertical="center"/>
    </xf>
    <xf numFmtId="0" fontId="7" fillId="8" borderId="16" xfId="2" applyFill="1" applyBorder="1" applyAlignment="1">
      <alignment horizontal="center" vertical="center"/>
    </xf>
    <xf numFmtId="0" fontId="7" fillId="4" borderId="8" xfId="2" applyFill="1" applyBorder="1" applyAlignment="1">
      <alignment horizontal="center" vertical="center"/>
    </xf>
    <xf numFmtId="2" fontId="7" fillId="4" borderId="11" xfId="2" applyNumberFormat="1" applyFill="1" applyBorder="1" applyAlignment="1">
      <alignment horizontal="center" vertical="center"/>
    </xf>
    <xf numFmtId="2" fontId="7" fillId="3" borderId="0" xfId="2" applyNumberFormat="1" applyFill="1"/>
    <xf numFmtId="0" fontId="7" fillId="8" borderId="17" xfId="2" applyFill="1" applyBorder="1" applyAlignment="1">
      <alignment horizontal="center" vertical="center"/>
    </xf>
    <xf numFmtId="0" fontId="7" fillId="7" borderId="1" xfId="2" applyFill="1" applyBorder="1" applyAlignment="1">
      <alignment horizontal="center" vertical="center"/>
    </xf>
    <xf numFmtId="0" fontId="7" fillId="8" borderId="1" xfId="2" applyFill="1" applyBorder="1" applyAlignment="1">
      <alignment horizontal="center" vertical="center"/>
    </xf>
    <xf numFmtId="0" fontId="7" fillId="8" borderId="18" xfId="2" applyFill="1" applyBorder="1" applyAlignment="1">
      <alignment horizontal="center" vertical="center"/>
    </xf>
    <xf numFmtId="0" fontId="7" fillId="4" borderId="19" xfId="2" applyFill="1" applyBorder="1" applyAlignment="1">
      <alignment horizontal="center" vertical="center"/>
    </xf>
    <xf numFmtId="2" fontId="7" fillId="4" borderId="12" xfId="2" applyNumberFormat="1" applyFill="1" applyBorder="1" applyAlignment="1">
      <alignment horizontal="center" vertical="center"/>
    </xf>
    <xf numFmtId="0" fontId="7" fillId="4" borderId="4" xfId="2" applyFill="1" applyBorder="1"/>
    <xf numFmtId="0" fontId="1" fillId="4" borderId="20" xfId="2" applyFont="1" applyFill="1" applyBorder="1"/>
    <xf numFmtId="0" fontId="7" fillId="8" borderId="21" xfId="2" applyFill="1" applyBorder="1" applyAlignment="1">
      <alignment horizontal="center" vertical="center"/>
    </xf>
    <xf numFmtId="0" fontId="7" fillId="8" borderId="22" xfId="2" applyFill="1" applyBorder="1" applyAlignment="1">
      <alignment horizontal="center" vertical="center"/>
    </xf>
    <xf numFmtId="0" fontId="7" fillId="7" borderId="23" xfId="2" applyFill="1" applyBorder="1" applyAlignment="1">
      <alignment horizontal="center" vertical="center"/>
    </xf>
    <xf numFmtId="0" fontId="7" fillId="4" borderId="24" xfId="2" applyFill="1" applyBorder="1" applyAlignment="1">
      <alignment horizontal="center" vertical="center"/>
    </xf>
    <xf numFmtId="2" fontId="7" fillId="4" borderId="4" xfId="2" applyNumberFormat="1" applyFill="1" applyBorder="1" applyAlignment="1">
      <alignment horizontal="center" vertical="center"/>
    </xf>
    <xf numFmtId="0" fontId="1" fillId="4" borderId="25" xfId="2" applyFont="1" applyFill="1" applyBorder="1" applyAlignment="1">
      <alignment horizontal="center" textRotation="90"/>
    </xf>
    <xf numFmtId="0" fontId="1" fillId="4" borderId="7" xfId="2" applyFont="1" applyFill="1" applyBorder="1" applyAlignment="1">
      <alignment horizontal="center" textRotation="90"/>
    </xf>
    <xf numFmtId="0" fontId="7" fillId="5" borderId="26" xfId="2" applyFill="1" applyBorder="1" applyAlignment="1">
      <alignment horizontal="center" textRotation="90"/>
    </xf>
    <xf numFmtId="0" fontId="7" fillId="5" borderId="5" xfId="2" applyFill="1" applyBorder="1" applyAlignment="1">
      <alignment horizontal="center" textRotation="90"/>
    </xf>
    <xf numFmtId="0" fontId="7" fillId="5" borderId="6" xfId="2" applyFill="1" applyBorder="1" applyAlignment="1">
      <alignment horizontal="center" textRotation="90"/>
    </xf>
    <xf numFmtId="0" fontId="7" fillId="5" borderId="27" xfId="2" applyFill="1" applyBorder="1" applyAlignment="1">
      <alignment horizontal="center" vertical="center"/>
    </xf>
    <xf numFmtId="0" fontId="7" fillId="5" borderId="28" xfId="2" applyFill="1" applyBorder="1" applyAlignment="1">
      <alignment horizontal="center" vertical="center"/>
    </xf>
    <xf numFmtId="0" fontId="7" fillId="5" borderId="29" xfId="2" applyFill="1" applyBorder="1" applyAlignment="1">
      <alignment horizontal="center" vertical="center"/>
    </xf>
    <xf numFmtId="0" fontId="7" fillId="5" borderId="17" xfId="2" applyFill="1" applyBorder="1" applyAlignment="1">
      <alignment horizontal="center" vertical="center"/>
    </xf>
    <xf numFmtId="0" fontId="7" fillId="5" borderId="1" xfId="2" applyFill="1" applyBorder="1" applyAlignment="1">
      <alignment horizontal="center" vertical="center"/>
    </xf>
    <xf numFmtId="0" fontId="7" fillId="5" borderId="30" xfId="2" applyFill="1" applyBorder="1" applyAlignment="1">
      <alignment horizontal="center" vertical="center"/>
    </xf>
    <xf numFmtId="0" fontId="7" fillId="0" borderId="0" xfId="2"/>
    <xf numFmtId="0" fontId="7" fillId="5" borderId="0" xfId="2" applyFill="1" applyAlignment="1">
      <alignment horizontal="center" vertical="center"/>
    </xf>
    <xf numFmtId="0" fontId="7" fillId="5" borderId="21" xfId="2" applyFill="1" applyBorder="1" applyAlignment="1">
      <alignment horizontal="center" vertical="center"/>
    </xf>
    <xf numFmtId="0" fontId="7" fillId="5" borderId="22" xfId="2" applyFill="1" applyBorder="1" applyAlignment="1">
      <alignment horizontal="center" vertical="center"/>
    </xf>
    <xf numFmtId="0" fontId="7" fillId="5" borderId="31" xfId="2" applyFill="1" applyBorder="1" applyAlignment="1">
      <alignment horizontal="center" vertical="center"/>
    </xf>
    <xf numFmtId="0" fontId="1" fillId="4" borderId="2" xfId="2" applyFont="1" applyFill="1" applyBorder="1"/>
    <xf numFmtId="1" fontId="7" fillId="4" borderId="32" xfId="2" applyNumberFormat="1" applyFill="1" applyBorder="1" applyAlignment="1">
      <alignment horizontal="center" vertical="center"/>
    </xf>
    <xf numFmtId="1" fontId="7" fillId="4" borderId="9" xfId="2" applyNumberFormat="1" applyFill="1" applyBorder="1" applyAlignment="1">
      <alignment horizontal="center" vertical="center"/>
    </xf>
    <xf numFmtId="1" fontId="7" fillId="4" borderId="10" xfId="2" applyNumberFormat="1" applyFill="1" applyBorder="1" applyAlignment="1">
      <alignment horizontal="center" vertical="center"/>
    </xf>
    <xf numFmtId="0" fontId="7" fillId="4" borderId="19" xfId="2" applyFill="1" applyBorder="1"/>
    <xf numFmtId="0" fontId="1" fillId="4" borderId="4" xfId="2" applyFont="1" applyFill="1" applyBorder="1"/>
    <xf numFmtId="0" fontId="1" fillId="4" borderId="32" xfId="2" applyFont="1" applyFill="1" applyBorder="1" applyAlignment="1">
      <alignment horizontal="center" vertical="center"/>
    </xf>
    <xf numFmtId="0" fontId="1" fillId="4" borderId="9" xfId="2" applyFont="1" applyFill="1" applyBorder="1" applyAlignment="1">
      <alignment horizontal="center" vertical="center"/>
    </xf>
    <xf numFmtId="0" fontId="1" fillId="4" borderId="10" xfId="2" applyFont="1" applyFill="1" applyBorder="1" applyAlignment="1">
      <alignment horizontal="center" vertical="center"/>
    </xf>
    <xf numFmtId="0" fontId="7" fillId="4" borderId="24" xfId="2" applyFill="1" applyBorder="1"/>
    <xf numFmtId="0" fontId="1" fillId="3" borderId="25" xfId="2" applyFont="1" applyFill="1" applyBorder="1"/>
    <xf numFmtId="0" fontId="7" fillId="3" borderId="7" xfId="2" applyFill="1" applyBorder="1"/>
    <xf numFmtId="0" fontId="7" fillId="3" borderId="8" xfId="2" applyFill="1" applyBorder="1"/>
    <xf numFmtId="0" fontId="7" fillId="3" borderId="13" xfId="2" applyFont="1" applyFill="1" applyBorder="1"/>
    <xf numFmtId="0" fontId="7" fillId="3" borderId="19" xfId="2" applyFill="1" applyBorder="1"/>
    <xf numFmtId="0" fontId="7" fillId="3" borderId="20" xfId="2" applyFont="1" applyFill="1" applyBorder="1"/>
    <xf numFmtId="0" fontId="7" fillId="3" borderId="33" xfId="2" applyFill="1" applyBorder="1"/>
    <xf numFmtId="0" fontId="7" fillId="3" borderId="24" xfId="2" applyFill="1" applyBorder="1"/>
    <xf numFmtId="0" fontId="14" fillId="0" borderId="0" xfId="3" applyFont="1"/>
    <xf numFmtId="0" fontId="13" fillId="0" borderId="0" xfId="3"/>
    <xf numFmtId="0" fontId="13" fillId="0" borderId="0" xfId="4"/>
    <xf numFmtId="0" fontId="13" fillId="9" borderId="0" xfId="3" applyFill="1"/>
    <xf numFmtId="0" fontId="15" fillId="0" borderId="0" xfId="5"/>
    <xf numFmtId="0" fontId="16" fillId="0" borderId="25" xfId="1" applyFont="1" applyBorder="1"/>
    <xf numFmtId="166" fontId="17" fillId="0" borderId="7" xfId="1" applyNumberFormat="1" applyFont="1" applyBorder="1"/>
    <xf numFmtId="0" fontId="17" fillId="0" borderId="8" xfId="1" applyFont="1" applyBorder="1" applyAlignment="1">
      <alignment horizontal="center"/>
    </xf>
    <xf numFmtId="0" fontId="17" fillId="0" borderId="0" xfId="1" applyFont="1"/>
    <xf numFmtId="0" fontId="18" fillId="0" borderId="0" xfId="1" applyFont="1"/>
    <xf numFmtId="0" fontId="16" fillId="0" borderId="0" xfId="1" applyFont="1" applyAlignment="1">
      <alignment horizontal="left"/>
    </xf>
    <xf numFmtId="0" fontId="16" fillId="0" borderId="13" xfId="1" applyFont="1" applyBorder="1"/>
    <xf numFmtId="166" fontId="17" fillId="0" borderId="0" xfId="1" applyNumberFormat="1" applyFont="1"/>
    <xf numFmtId="0" fontId="17" fillId="0" borderId="19" xfId="1" applyFont="1" applyBorder="1" applyAlignment="1">
      <alignment horizontal="center"/>
    </xf>
    <xf numFmtId="11" fontId="17" fillId="0" borderId="0" xfId="1" applyNumberFormat="1" applyFont="1"/>
    <xf numFmtId="0" fontId="16" fillId="2" borderId="1" xfId="1" applyFont="1" applyFill="1" applyBorder="1" applyAlignment="1">
      <alignment horizontal="left"/>
    </xf>
    <xf numFmtId="0" fontId="17" fillId="0" borderId="7" xfId="1" applyFont="1" applyBorder="1"/>
    <xf numFmtId="0" fontId="19" fillId="0" borderId="7" xfId="1" applyFont="1" applyBorder="1" applyAlignment="1">
      <alignment horizontal="centerContinuous"/>
    </xf>
    <xf numFmtId="0" fontId="17" fillId="0" borderId="7" xfId="1" applyFont="1" applyBorder="1" applyAlignment="1">
      <alignment horizontal="centerContinuous"/>
    </xf>
    <xf numFmtId="0" fontId="17" fillId="0" borderId="8" xfId="1" applyFont="1" applyBorder="1" applyAlignment="1">
      <alignment horizontal="centerContinuous"/>
    </xf>
    <xf numFmtId="0" fontId="17" fillId="0" borderId="25" xfId="1" applyFont="1" applyBorder="1" applyAlignment="1">
      <alignment horizontal="centerContinuous"/>
    </xf>
    <xf numFmtId="11" fontId="17" fillId="0" borderId="7" xfId="1" applyNumberFormat="1" applyFont="1" applyBorder="1" applyAlignment="1">
      <alignment horizontal="centerContinuous"/>
    </xf>
    <xf numFmtId="0" fontId="16" fillId="0" borderId="20" xfId="1" applyFont="1" applyBorder="1"/>
    <xf numFmtId="166" fontId="17" fillId="0" borderId="33" xfId="1" applyNumberFormat="1" applyFont="1" applyBorder="1"/>
    <xf numFmtId="0" fontId="17" fillId="0" borderId="24" xfId="1" applyFont="1" applyBorder="1" applyAlignment="1">
      <alignment horizontal="center"/>
    </xf>
    <xf numFmtId="0" fontId="20" fillId="0" borderId="13" xfId="1" applyFont="1" applyBorder="1" applyAlignment="1">
      <alignment horizontal="center"/>
    </xf>
    <xf numFmtId="0" fontId="20" fillId="0" borderId="0" xfId="1" applyFont="1" applyAlignment="1">
      <alignment horizontal="center"/>
    </xf>
    <xf numFmtId="0" fontId="20" fillId="0" borderId="0" xfId="1" applyFont="1" applyAlignment="1">
      <alignment horizontal="centerContinuous"/>
    </xf>
    <xf numFmtId="0" fontId="20" fillId="0" borderId="19" xfId="1" applyFont="1" applyBorder="1" applyAlignment="1">
      <alignment horizontal="centerContinuous"/>
    </xf>
    <xf numFmtId="0" fontId="20" fillId="0" borderId="13" xfId="1" applyFont="1" applyBorder="1" applyAlignment="1">
      <alignment horizontal="centerContinuous"/>
    </xf>
    <xf numFmtId="0" fontId="17" fillId="0" borderId="19" xfId="1" applyFont="1" applyBorder="1" applyAlignment="1">
      <alignment horizontal="centerContinuous"/>
    </xf>
    <xf numFmtId="0" fontId="17" fillId="0" borderId="0" xfId="1" applyFont="1" applyAlignment="1">
      <alignment horizontal="center"/>
    </xf>
    <xf numFmtId="0" fontId="17" fillId="0" borderId="13" xfId="1" applyFont="1" applyBorder="1"/>
    <xf numFmtId="0" fontId="17" fillId="0" borderId="19" xfId="1" applyFont="1" applyBorder="1"/>
    <xf numFmtId="11" fontId="17" fillId="0" borderId="13" xfId="1" applyNumberFormat="1" applyFont="1" applyBorder="1"/>
    <xf numFmtId="11" fontId="17" fillId="0" borderId="19" xfId="1" applyNumberFormat="1" applyFont="1" applyBorder="1"/>
    <xf numFmtId="0" fontId="16" fillId="0" borderId="32" xfId="1" applyFont="1" applyBorder="1"/>
    <xf numFmtId="0" fontId="17" fillId="0" borderId="9" xfId="1" applyFont="1" applyBorder="1"/>
    <xf numFmtId="0" fontId="17" fillId="0" borderId="10" xfId="1" applyFont="1" applyBorder="1" applyAlignment="1">
      <alignment horizontal="center"/>
    </xf>
    <xf numFmtId="167" fontId="17" fillId="0" borderId="7" xfId="1" applyNumberFormat="1" applyFont="1" applyBorder="1"/>
    <xf numFmtId="168" fontId="17" fillId="0" borderId="0" xfId="1" applyNumberFormat="1" applyFont="1"/>
    <xf numFmtId="168" fontId="17" fillId="0" borderId="33" xfId="1" applyNumberFormat="1" applyFont="1" applyBorder="1"/>
    <xf numFmtId="0" fontId="17" fillId="0" borderId="20" xfId="1" applyFont="1" applyBorder="1"/>
    <xf numFmtId="0" fontId="17" fillId="0" borderId="33" xfId="1" applyFont="1" applyBorder="1"/>
    <xf numFmtId="11" fontId="17" fillId="0" borderId="33" xfId="1" applyNumberFormat="1" applyFont="1" applyBorder="1"/>
    <xf numFmtId="0" fontId="17" fillId="0" borderId="24" xfId="1" applyFont="1" applyBorder="1"/>
    <xf numFmtId="11" fontId="17" fillId="0" borderId="20" xfId="1" applyNumberFormat="1" applyFont="1" applyBorder="1"/>
    <xf numFmtId="2" fontId="17" fillId="0" borderId="0" xfId="1" applyNumberFormat="1" applyFont="1"/>
    <xf numFmtId="167" fontId="17" fillId="0" borderId="0" xfId="1" applyNumberFormat="1" applyFont="1"/>
    <xf numFmtId="165" fontId="17" fillId="0" borderId="0" xfId="1" applyNumberFormat="1" applyFont="1"/>
    <xf numFmtId="0" fontId="17" fillId="0" borderId="8" xfId="1" applyFont="1" applyBorder="1"/>
    <xf numFmtId="0" fontId="16" fillId="2" borderId="1" xfId="1" applyFont="1" applyFill="1" applyBorder="1"/>
    <xf numFmtId="0" fontId="17" fillId="0" borderId="34" xfId="1" applyFont="1" applyBorder="1" applyAlignment="1">
      <alignment horizontal="center"/>
    </xf>
    <xf numFmtId="0" fontId="17" fillId="0" borderId="35" xfId="1" applyFont="1" applyBorder="1" applyAlignment="1">
      <alignment horizontal="center"/>
    </xf>
    <xf numFmtId="0" fontId="17" fillId="0" borderId="36" xfId="1" applyFont="1" applyBorder="1" applyAlignment="1">
      <alignment horizontal="left"/>
    </xf>
    <xf numFmtId="11" fontId="17" fillId="0" borderId="37" xfId="1" applyNumberFormat="1" applyFont="1" applyBorder="1"/>
    <xf numFmtId="10" fontId="17" fillId="0" borderId="0" xfId="1" applyNumberFormat="1" applyFont="1"/>
    <xf numFmtId="10" fontId="17" fillId="0" borderId="0" xfId="6" applyNumberFormat="1" applyFont="1"/>
    <xf numFmtId="10" fontId="17" fillId="0" borderId="19" xfId="6" applyNumberFormat="1" applyFont="1" applyBorder="1"/>
    <xf numFmtId="169" fontId="17" fillId="0" borderId="33" xfId="6" applyNumberFormat="1" applyFont="1" applyBorder="1"/>
    <xf numFmtId="0" fontId="17" fillId="0" borderId="37" xfId="1" applyFont="1" applyBorder="1"/>
    <xf numFmtId="10" fontId="17" fillId="0" borderId="33" xfId="6" applyNumberFormat="1" applyFont="1" applyBorder="1"/>
    <xf numFmtId="0" fontId="17" fillId="0" borderId="0" xfId="1" applyFont="1" applyAlignment="1">
      <alignment horizontal="centerContinuous"/>
    </xf>
    <xf numFmtId="0" fontId="17" fillId="0" borderId="38" xfId="1" applyFont="1" applyBorder="1" applyAlignment="1">
      <alignment horizontal="left"/>
    </xf>
    <xf numFmtId="0" fontId="17" fillId="0" borderId="39" xfId="1" applyFont="1" applyBorder="1" applyAlignment="1">
      <alignment horizontal="center"/>
    </xf>
    <xf numFmtId="0" fontId="17" fillId="0" borderId="39" xfId="1" applyFont="1" applyBorder="1"/>
    <xf numFmtId="0" fontId="17" fillId="0" borderId="40" xfId="1" applyFont="1" applyBorder="1"/>
    <xf numFmtId="10" fontId="17" fillId="0" borderId="24" xfId="6" applyNumberFormat="1" applyFont="1" applyBorder="1"/>
    <xf numFmtId="11" fontId="17" fillId="0" borderId="8" xfId="1" applyNumberFormat="1" applyFont="1" applyBorder="1"/>
    <xf numFmtId="169" fontId="17" fillId="0" borderId="0" xfId="6" applyNumberFormat="1" applyFont="1"/>
    <xf numFmtId="165" fontId="17" fillId="0" borderId="19" xfId="1" applyNumberFormat="1" applyFont="1" applyBorder="1"/>
    <xf numFmtId="165" fontId="17" fillId="0" borderId="33" xfId="1" applyNumberFormat="1" applyFont="1" applyBorder="1"/>
    <xf numFmtId="165" fontId="17" fillId="0" borderId="24" xfId="1" applyNumberFormat="1" applyFont="1" applyBorder="1"/>
    <xf numFmtId="0" fontId="16" fillId="2" borderId="25" xfId="1" applyFont="1" applyFill="1" applyBorder="1" applyAlignment="1">
      <alignment horizontal="left"/>
    </xf>
    <xf numFmtId="0" fontId="16" fillId="2" borderId="7" xfId="1" applyFont="1" applyFill="1" applyBorder="1" applyAlignment="1">
      <alignment horizontal="centerContinuous"/>
    </xf>
    <xf numFmtId="0" fontId="16" fillId="0" borderId="7" xfId="1" applyFont="1" applyBorder="1" applyAlignment="1">
      <alignment horizontal="centerContinuous"/>
    </xf>
    <xf numFmtId="0" fontId="16" fillId="0" borderId="8" xfId="1" applyFont="1" applyBorder="1" applyAlignment="1">
      <alignment horizontal="centerContinuous"/>
    </xf>
    <xf numFmtId="0" fontId="17" fillId="0" borderId="25" xfId="1" applyFont="1" applyBorder="1" applyAlignment="1">
      <alignment horizontal="center"/>
    </xf>
    <xf numFmtId="0" fontId="17" fillId="0" borderId="7" xfId="1" applyFont="1" applyBorder="1" applyAlignment="1">
      <alignment horizontal="center"/>
    </xf>
    <xf numFmtId="0" fontId="17" fillId="0" borderId="13" xfId="1" applyFont="1" applyBorder="1" applyAlignment="1">
      <alignment horizontal="center"/>
    </xf>
    <xf numFmtId="164" fontId="17" fillId="0" borderId="0" xfId="1" applyNumberFormat="1" applyFont="1"/>
    <xf numFmtId="164" fontId="17" fillId="0" borderId="19" xfId="1" applyNumberFormat="1" applyFont="1" applyBorder="1"/>
    <xf numFmtId="2" fontId="22" fillId="0" borderId="0" xfId="1" applyNumberFormat="1" applyFont="1" applyAlignment="1">
      <alignment horizontal="left" indent="1"/>
    </xf>
    <xf numFmtId="164" fontId="17" fillId="0" borderId="33" xfId="1" applyNumberFormat="1" applyFont="1" applyBorder="1"/>
    <xf numFmtId="0" fontId="17" fillId="2" borderId="7" xfId="1" applyFont="1" applyFill="1" applyBorder="1" applyAlignment="1">
      <alignment horizontal="centerContinuous"/>
    </xf>
    <xf numFmtId="0" fontId="17" fillId="0" borderId="0" xfId="1" quotePrefix="1" applyFont="1" applyAlignment="1">
      <alignment horizontal="center"/>
    </xf>
    <xf numFmtId="0" fontId="17" fillId="0" borderId="33" xfId="1" quotePrefix="1" applyFont="1" applyBorder="1" applyAlignment="1">
      <alignment horizontal="center"/>
    </xf>
    <xf numFmtId="0" fontId="16" fillId="0" borderId="0" xfId="1" applyFont="1" applyAlignment="1">
      <alignment horizontal="centerContinuous"/>
    </xf>
    <xf numFmtId="0" fontId="17" fillId="0" borderId="13" xfId="1" applyFont="1" applyBorder="1" applyAlignment="1">
      <alignment horizontal="centerContinuous"/>
    </xf>
    <xf numFmtId="164" fontId="17" fillId="0" borderId="24" xfId="1" applyNumberFormat="1" applyFont="1" applyBorder="1"/>
    <xf numFmtId="0" fontId="16" fillId="2" borderId="25" xfId="1" applyFont="1" applyFill="1" applyBorder="1"/>
    <xf numFmtId="0" fontId="17" fillId="2" borderId="7" xfId="1" applyFont="1" applyFill="1" applyBorder="1"/>
    <xf numFmtId="0" fontId="22" fillId="0" borderId="13" xfId="1" applyFont="1" applyBorder="1" applyAlignment="1">
      <alignment horizontal="center"/>
    </xf>
    <xf numFmtId="169" fontId="22" fillId="0" borderId="0" xfId="6" applyNumberFormat="1" applyFont="1" applyAlignment="1">
      <alignment horizontal="center"/>
    </xf>
    <xf numFmtId="0" fontId="22" fillId="0" borderId="0" xfId="1" applyFont="1" applyAlignment="1">
      <alignment horizontal="center"/>
    </xf>
    <xf numFmtId="0" fontId="22" fillId="10" borderId="18" xfId="1" applyFont="1" applyFill="1" applyBorder="1"/>
    <xf numFmtId="0" fontId="22" fillId="0" borderId="19" xfId="1" applyFont="1" applyBorder="1"/>
    <xf numFmtId="0" fontId="22" fillId="0" borderId="20" xfId="1" applyFont="1" applyBorder="1" applyAlignment="1">
      <alignment horizontal="center"/>
    </xf>
    <xf numFmtId="169" fontId="22" fillId="0" borderId="33" xfId="6" applyNumberFormat="1" applyFont="1" applyBorder="1" applyAlignment="1">
      <alignment horizontal="center"/>
    </xf>
    <xf numFmtId="0" fontId="22" fillId="0" borderId="33" xfId="1" applyFont="1" applyBorder="1" applyAlignment="1">
      <alignment horizontal="center"/>
    </xf>
    <xf numFmtId="0" fontId="22" fillId="0" borderId="0" xfId="1" applyFont="1"/>
    <xf numFmtId="0" fontId="17" fillId="0" borderId="25" xfId="1" applyFont="1" applyBorder="1"/>
    <xf numFmtId="0" fontId="22" fillId="0" borderId="7" xfId="1" applyFont="1" applyBorder="1" applyAlignment="1">
      <alignment horizontal="center"/>
    </xf>
    <xf numFmtId="0" fontId="22" fillId="0" borderId="8" xfId="1" applyFont="1" applyBorder="1" applyAlignment="1">
      <alignment horizontal="center"/>
    </xf>
    <xf numFmtId="0" fontId="23" fillId="2" borderId="25" xfId="1" applyFont="1" applyFill="1" applyBorder="1"/>
    <xf numFmtId="0" fontId="22" fillId="0" borderId="19" xfId="1" applyFont="1" applyBorder="1" applyAlignment="1">
      <alignment horizontal="center"/>
    </xf>
    <xf numFmtId="0" fontId="22" fillId="0" borderId="13" xfId="1" applyFont="1" applyBorder="1"/>
    <xf numFmtId="10" fontId="22" fillId="0" borderId="0" xfId="6" applyNumberFormat="1" applyFont="1"/>
    <xf numFmtId="169" fontId="22" fillId="0" borderId="0" xfId="6" applyNumberFormat="1" applyFont="1"/>
    <xf numFmtId="169" fontId="22" fillId="0" borderId="19" xfId="1" applyNumberFormat="1" applyFont="1" applyBorder="1"/>
    <xf numFmtId="10" fontId="23" fillId="0" borderId="0" xfId="6" applyNumberFormat="1" applyFont="1"/>
    <xf numFmtId="169" fontId="23" fillId="0" borderId="0" xfId="6" applyNumberFormat="1" applyFont="1"/>
    <xf numFmtId="169" fontId="23" fillId="0" borderId="19" xfId="6" applyNumberFormat="1" applyFont="1" applyBorder="1"/>
    <xf numFmtId="10" fontId="24" fillId="0" borderId="0" xfId="6" applyNumberFormat="1" applyFont="1"/>
    <xf numFmtId="169" fontId="24" fillId="0" borderId="0" xfId="6" applyNumberFormat="1" applyFont="1"/>
    <xf numFmtId="0" fontId="19" fillId="0" borderId="0" xfId="6" applyNumberFormat="1" applyFont="1" applyProtection="1">
      <protection locked="0"/>
    </xf>
    <xf numFmtId="10" fontId="19" fillId="0" borderId="0" xfId="6" applyNumberFormat="1" applyFont="1" applyProtection="1">
      <protection locked="0"/>
    </xf>
    <xf numFmtId="10" fontId="22" fillId="0" borderId="13" xfId="1" applyNumberFormat="1" applyFont="1" applyBorder="1"/>
    <xf numFmtId="0" fontId="22" fillId="0" borderId="20" xfId="1" applyFont="1" applyBorder="1"/>
    <xf numFmtId="0" fontId="22" fillId="0" borderId="33" xfId="1" applyFont="1" applyBorder="1"/>
    <xf numFmtId="10" fontId="22" fillId="0" borderId="33" xfId="6" applyNumberFormat="1" applyFont="1" applyBorder="1"/>
    <xf numFmtId="169" fontId="22" fillId="0" borderId="33" xfId="6" applyNumberFormat="1" applyFont="1" applyBorder="1"/>
    <xf numFmtId="169" fontId="22" fillId="0" borderId="24" xfId="1" applyNumberFormat="1" applyFont="1" applyBorder="1"/>
    <xf numFmtId="9" fontId="17" fillId="0" borderId="19" xfId="6" applyFont="1" applyBorder="1"/>
    <xf numFmtId="9" fontId="17" fillId="0" borderId="24" xfId="6" applyFont="1" applyBorder="1"/>
    <xf numFmtId="0" fontId="25" fillId="12" borderId="44" xfId="0" applyFont="1" applyFill="1" applyBorder="1" applyAlignment="1">
      <alignment horizontal="center" vertical="center"/>
    </xf>
    <xf numFmtId="0" fontId="25" fillId="12" borderId="42" xfId="0" applyFont="1" applyFill="1" applyBorder="1" applyAlignment="1">
      <alignment horizontal="center" vertical="center"/>
    </xf>
    <xf numFmtId="0" fontId="25" fillId="12" borderId="45" xfId="0" applyFont="1" applyFill="1" applyBorder="1" applyAlignment="1">
      <alignment horizontal="center" vertical="center"/>
    </xf>
    <xf numFmtId="0" fontId="25" fillId="13" borderId="46" xfId="0" applyFont="1" applyFill="1" applyBorder="1" applyAlignment="1">
      <alignment horizontal="center" vertical="center"/>
    </xf>
    <xf numFmtId="0" fontId="25" fillId="13" borderId="43" xfId="0" applyFont="1" applyFill="1" applyBorder="1" applyAlignment="1">
      <alignment horizontal="center" vertical="center"/>
    </xf>
    <xf numFmtId="0" fontId="25" fillId="13" borderId="47" xfId="0" applyFont="1" applyFill="1" applyBorder="1" applyAlignment="1">
      <alignment horizontal="center" vertical="center"/>
    </xf>
    <xf numFmtId="0" fontId="25" fillId="11" borderId="25" xfId="0" applyFont="1" applyFill="1" applyBorder="1" applyAlignment="1">
      <alignment horizontal="center" vertical="center"/>
    </xf>
    <xf numFmtId="0" fontId="25" fillId="11" borderId="7" xfId="0" applyFont="1" applyFill="1" applyBorder="1" applyAlignment="1">
      <alignment horizontal="center" vertical="center"/>
    </xf>
    <xf numFmtId="0" fontId="25" fillId="11" borderId="8" xfId="0" applyFont="1" applyFill="1" applyBorder="1" applyAlignment="1">
      <alignment horizontal="center" vertical="center"/>
    </xf>
    <xf numFmtId="0" fontId="12" fillId="4" borderId="11" xfId="2" applyFont="1" applyFill="1" applyBorder="1" applyAlignment="1">
      <alignment horizontal="center" vertical="center" wrapText="1"/>
    </xf>
    <xf numFmtId="0" fontId="12" fillId="4" borderId="4" xfId="2" applyFont="1" applyFill="1" applyBorder="1" applyAlignment="1">
      <alignment horizontal="center" vertical="center" wrapText="1"/>
    </xf>
    <xf numFmtId="0" fontId="7" fillId="4" borderId="11" xfId="2" applyFill="1" applyBorder="1" applyAlignment="1">
      <alignment horizontal="right" vertical="center" wrapText="1"/>
    </xf>
    <xf numFmtId="0" fontId="7" fillId="4" borderId="20" xfId="2" applyFill="1" applyBorder="1" applyAlignment="1">
      <alignment horizontal="right" vertical="center"/>
    </xf>
    <xf numFmtId="0" fontId="7" fillId="4" borderId="11" xfId="2" applyFill="1" applyBorder="1" applyAlignment="1">
      <alignment horizontal="center" vertical="center" wrapText="1"/>
    </xf>
    <xf numFmtId="0" fontId="7" fillId="4" borderId="19" xfId="2" applyFill="1" applyBorder="1" applyAlignment="1">
      <alignment horizontal="center" vertical="center" wrapText="1"/>
    </xf>
    <xf numFmtId="0" fontId="7" fillId="4" borderId="11" xfId="2" applyFont="1" applyFill="1" applyBorder="1" applyAlignment="1">
      <alignment horizontal="center" vertical="center" textRotation="90"/>
    </xf>
    <xf numFmtId="0" fontId="7" fillId="4" borderId="12" xfId="2" applyFill="1" applyBorder="1" applyAlignment="1">
      <alignment horizontal="center" vertical="center" textRotation="90"/>
    </xf>
    <xf numFmtId="0" fontId="7" fillId="4" borderId="4" xfId="2" applyFill="1" applyBorder="1" applyAlignment="1">
      <alignment horizontal="center" vertical="center" textRotation="90"/>
    </xf>
    <xf numFmtId="0" fontId="16" fillId="2" borderId="1" xfId="1" applyFont="1" applyFill="1" applyBorder="1" applyAlignment="1">
      <alignment horizontal="center"/>
    </xf>
    <xf numFmtId="0" fontId="16" fillId="2" borderId="30" xfId="1" applyFont="1" applyFill="1" applyBorder="1" applyAlignment="1">
      <alignment horizontal="center"/>
    </xf>
    <xf numFmtId="0" fontId="16" fillId="2" borderId="41" xfId="1" applyFont="1" applyFill="1" applyBorder="1" applyAlignment="1">
      <alignment horizontal="center"/>
    </xf>
    <xf numFmtId="0" fontId="0" fillId="8" borderId="13" xfId="0" applyFill="1" applyBorder="1"/>
    <xf numFmtId="0" fontId="0" fillId="8" borderId="0" xfId="0" applyFill="1" applyBorder="1"/>
    <xf numFmtId="0" fontId="0" fillId="8" borderId="19" xfId="0" applyFill="1" applyBorder="1"/>
    <xf numFmtId="0" fontId="3" fillId="8" borderId="0" xfId="0" applyFont="1" applyFill="1" applyBorder="1" applyAlignment="1">
      <alignment horizontal="center"/>
    </xf>
    <xf numFmtId="0" fontId="1" fillId="8" borderId="1" xfId="0" applyFont="1" applyFill="1" applyBorder="1"/>
    <xf numFmtId="0" fontId="1" fillId="8" borderId="0" xfId="0" applyFont="1" applyFill="1" applyBorder="1"/>
    <xf numFmtId="0" fontId="0" fillId="8" borderId="0" xfId="0" applyFill="1" applyBorder="1" applyAlignment="1">
      <alignment horizontal="center"/>
    </xf>
    <xf numFmtId="2" fontId="1" fillId="8" borderId="1" xfId="0" applyNumberFormat="1" applyFont="1" applyFill="1" applyBorder="1"/>
    <xf numFmtId="0" fontId="0" fillId="14" borderId="13" xfId="0" applyFill="1" applyBorder="1"/>
    <xf numFmtId="0" fontId="0" fillId="14" borderId="0" xfId="0" applyFill="1" applyBorder="1"/>
    <xf numFmtId="0" fontId="0" fillId="14" borderId="19" xfId="0" applyFill="1" applyBorder="1"/>
    <xf numFmtId="0" fontId="0" fillId="14" borderId="0" xfId="0" applyFill="1" applyBorder="1" applyAlignment="1">
      <alignment horizontal="center"/>
    </xf>
    <xf numFmtId="165" fontId="1" fillId="14" borderId="0" xfId="0" applyNumberFormat="1" applyFont="1" applyFill="1" applyBorder="1"/>
    <xf numFmtId="0" fontId="1" fillId="14" borderId="0" xfId="0" applyFont="1" applyFill="1" applyBorder="1"/>
    <xf numFmtId="164" fontId="1" fillId="14" borderId="0" xfId="0" applyNumberFormat="1" applyFont="1" applyFill="1" applyBorder="1"/>
    <xf numFmtId="0" fontId="0" fillId="15" borderId="13" xfId="0" applyFill="1" applyBorder="1"/>
    <xf numFmtId="0" fontId="0" fillId="15" borderId="0" xfId="0" applyFill="1" applyBorder="1" applyAlignment="1">
      <alignment horizontal="right"/>
    </xf>
    <xf numFmtId="0" fontId="0" fillId="15" borderId="0" xfId="0" applyFill="1" applyBorder="1"/>
    <xf numFmtId="0" fontId="0" fillId="15" borderId="19" xfId="0" applyFill="1" applyBorder="1"/>
    <xf numFmtId="0" fontId="0" fillId="15" borderId="0" xfId="0" applyFill="1" applyBorder="1" applyAlignment="1">
      <alignment horizontal="center"/>
    </xf>
    <xf numFmtId="164" fontId="1" fillId="15" borderId="3" xfId="0" applyNumberFormat="1" applyFont="1" applyFill="1" applyBorder="1"/>
    <xf numFmtId="0" fontId="1" fillId="15" borderId="0" xfId="0" applyFont="1" applyFill="1" applyBorder="1"/>
    <xf numFmtId="165" fontId="1" fillId="15" borderId="4" xfId="0" applyNumberFormat="1" applyFont="1" applyFill="1" applyBorder="1"/>
    <xf numFmtId="164" fontId="0" fillId="15" borderId="0" xfId="0" applyNumberFormat="1" applyFill="1" applyBorder="1"/>
    <xf numFmtId="0" fontId="1" fillId="15" borderId="1" xfId="0" applyFont="1" applyFill="1" applyBorder="1"/>
    <xf numFmtId="2" fontId="1" fillId="15" borderId="2" xfId="0" applyNumberFormat="1" applyFont="1" applyFill="1" applyBorder="1"/>
    <xf numFmtId="0" fontId="0" fillId="15" borderId="20" xfId="0" applyFill="1" applyBorder="1"/>
    <xf numFmtId="0" fontId="0" fillId="15" borderId="33" xfId="0" applyFill="1" applyBorder="1"/>
    <xf numFmtId="0" fontId="0" fillId="15" borderId="24" xfId="0" applyFill="1" applyBorder="1"/>
    <xf numFmtId="0" fontId="25" fillId="16" borderId="25" xfId="0" applyFont="1" applyFill="1" applyBorder="1" applyAlignment="1">
      <alignment horizontal="center" vertical="center"/>
    </xf>
    <xf numFmtId="0" fontId="25" fillId="16" borderId="7" xfId="0" applyFont="1" applyFill="1" applyBorder="1" applyAlignment="1">
      <alignment horizontal="center" vertical="center"/>
    </xf>
    <xf numFmtId="0" fontId="25" fillId="16" borderId="8" xfId="0" applyFont="1" applyFill="1" applyBorder="1" applyAlignment="1">
      <alignment horizontal="center" vertical="center"/>
    </xf>
    <xf numFmtId="0" fontId="0" fillId="17" borderId="13" xfId="0" applyFill="1" applyBorder="1"/>
    <xf numFmtId="0" fontId="0" fillId="17" borderId="0" xfId="0" applyFill="1" applyBorder="1" applyAlignment="1">
      <alignment horizontal="center"/>
    </xf>
    <xf numFmtId="0" fontId="1" fillId="17" borderId="1" xfId="0" applyFont="1" applyFill="1" applyBorder="1"/>
    <xf numFmtId="0" fontId="1" fillId="17" borderId="0" xfId="0" applyFont="1" applyFill="1" applyBorder="1"/>
    <xf numFmtId="0" fontId="0" fillId="17" borderId="0" xfId="0" applyFill="1" applyBorder="1"/>
    <xf numFmtId="0" fontId="0" fillId="17" borderId="19" xfId="0" applyFill="1" applyBorder="1"/>
    <xf numFmtId="0" fontId="0" fillId="17" borderId="20" xfId="0" applyFill="1" applyBorder="1"/>
    <xf numFmtId="0" fontId="0" fillId="17" borderId="33" xfId="0" applyFill="1" applyBorder="1" applyAlignment="1">
      <alignment horizontal="center"/>
    </xf>
    <xf numFmtId="0" fontId="1" fillId="17" borderId="22" xfId="0" applyFont="1" applyFill="1" applyBorder="1"/>
    <xf numFmtId="0" fontId="1" fillId="17" borderId="33" xfId="0" applyFont="1" applyFill="1" applyBorder="1"/>
    <xf numFmtId="0" fontId="0" fillId="17" borderId="33" xfId="0" applyFill="1" applyBorder="1"/>
    <xf numFmtId="0" fontId="0" fillId="17" borderId="24" xfId="0" applyFill="1" applyBorder="1"/>
  </cellXfs>
  <cellStyles count="7">
    <cellStyle name="Normal" xfId="0" builtinId="0"/>
    <cellStyle name="Normal 2" xfId="1"/>
    <cellStyle name="Normal 2 2" xfId="5"/>
    <cellStyle name="Normal 2_Db" xfId="3"/>
    <cellStyle name="Normal 4 2" xfId="2"/>
    <cellStyle name="Normal_Db" xfId="4"/>
    <cellStyle name="Percent 2" xfId="6"/>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calcChain" Target="calcChain.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Trade results</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radarChart>
        <c:radarStyle val="marker"/>
        <c:varyColors val="0"/>
        <c:ser>
          <c:idx val="0"/>
          <c:order val="0"/>
          <c:tx>
            <c:strRef>
              <c:f>Trade_off!$C$30</c:f>
              <c:strCache>
                <c:ptCount val="1"/>
                <c:pt idx="0">
                  <c:v>Option 1</c:v>
                </c:pt>
              </c:strCache>
            </c:strRef>
          </c:tx>
          <c:spPr>
            <a:ln w="28575" cap="rnd">
              <a:solidFill>
                <a:schemeClr val="accent1"/>
              </a:solidFill>
              <a:round/>
            </a:ln>
            <a:effectLst/>
          </c:spPr>
          <c:marker>
            <c:symbol val="none"/>
          </c:marker>
          <c:cat>
            <c:strRef>
              <c:extLst>
                <c:ext xmlns:c15="http://schemas.microsoft.com/office/drawing/2012/chart" uri="{02D57815-91ED-43cb-92C2-25804820EDAC}">
                  <c15:fullRef>
                    <c15:sqref>Trade_off!$B$32:$B$41</c15:sqref>
                  </c15:fullRef>
                </c:ext>
              </c:extLst>
              <c:f>Trade_off!$B$32:$B$35</c:f>
              <c:strCache>
                <c:ptCount val="4"/>
                <c:pt idx="0">
                  <c:v>Mass</c:v>
                </c:pt>
                <c:pt idx="1">
                  <c:v>Cost</c:v>
                </c:pt>
                <c:pt idx="2">
                  <c:v>Power</c:v>
                </c:pt>
                <c:pt idx="3">
                  <c:v>Equilibrium temperature</c:v>
                </c:pt>
              </c:strCache>
            </c:strRef>
          </c:cat>
          <c:val>
            <c:numRef>
              <c:extLst>
                <c:ext xmlns:c15="http://schemas.microsoft.com/office/drawing/2012/chart" uri="{02D57815-91ED-43cb-92C2-25804820EDAC}">
                  <c15:fullRef>
                    <c15:sqref>Trade_off!$C$32:$C$41</c15:sqref>
                  </c15:fullRef>
                </c:ext>
              </c:extLst>
              <c:f>Trade_off!$C$32:$C$35</c:f>
              <c:numCache>
                <c:formatCode>General</c:formatCode>
                <c:ptCount val="4"/>
                <c:pt idx="0">
                  <c:v>3</c:v>
                </c:pt>
                <c:pt idx="1">
                  <c:v>5</c:v>
                </c:pt>
                <c:pt idx="2">
                  <c:v>8</c:v>
                </c:pt>
                <c:pt idx="3">
                  <c:v>4</c:v>
                </c:pt>
              </c:numCache>
            </c:numRef>
          </c:val>
          <c:extLst>
            <c:ext xmlns:c16="http://schemas.microsoft.com/office/drawing/2014/chart" uri="{C3380CC4-5D6E-409C-BE32-E72D297353CC}">
              <c16:uniqueId val="{00000000-E347-4ADA-9DF1-962F155AFE6D}"/>
            </c:ext>
          </c:extLst>
        </c:ser>
        <c:ser>
          <c:idx val="1"/>
          <c:order val="1"/>
          <c:tx>
            <c:strRef>
              <c:f>Trade_off!$D$30</c:f>
              <c:strCache>
                <c:ptCount val="1"/>
                <c:pt idx="0">
                  <c:v>Option 2</c:v>
                </c:pt>
              </c:strCache>
            </c:strRef>
          </c:tx>
          <c:spPr>
            <a:ln w="28575" cap="rnd">
              <a:solidFill>
                <a:schemeClr val="accent2"/>
              </a:solidFill>
              <a:round/>
            </a:ln>
            <a:effectLst/>
          </c:spPr>
          <c:marker>
            <c:symbol val="none"/>
          </c:marker>
          <c:cat>
            <c:strRef>
              <c:extLst>
                <c:ext xmlns:c15="http://schemas.microsoft.com/office/drawing/2012/chart" uri="{02D57815-91ED-43cb-92C2-25804820EDAC}">
                  <c15:fullRef>
                    <c15:sqref>Trade_off!$B$32:$B$41</c15:sqref>
                  </c15:fullRef>
                </c:ext>
              </c:extLst>
              <c:f>Trade_off!$B$32:$B$35</c:f>
              <c:strCache>
                <c:ptCount val="4"/>
                <c:pt idx="0">
                  <c:v>Mass</c:v>
                </c:pt>
                <c:pt idx="1">
                  <c:v>Cost</c:v>
                </c:pt>
                <c:pt idx="2">
                  <c:v>Power</c:v>
                </c:pt>
                <c:pt idx="3">
                  <c:v>Equilibrium temperature</c:v>
                </c:pt>
              </c:strCache>
            </c:strRef>
          </c:cat>
          <c:val>
            <c:numRef>
              <c:extLst>
                <c:ext xmlns:c15="http://schemas.microsoft.com/office/drawing/2012/chart" uri="{02D57815-91ED-43cb-92C2-25804820EDAC}">
                  <c15:fullRef>
                    <c15:sqref>Trade_off!$D$32:$D$41</c15:sqref>
                  </c15:fullRef>
                </c:ext>
              </c:extLst>
              <c:f>Trade_off!$D$32:$D$35</c:f>
              <c:numCache>
                <c:formatCode>General</c:formatCode>
                <c:ptCount val="4"/>
                <c:pt idx="0">
                  <c:v>3</c:v>
                </c:pt>
                <c:pt idx="1">
                  <c:v>7</c:v>
                </c:pt>
                <c:pt idx="2">
                  <c:v>5</c:v>
                </c:pt>
                <c:pt idx="3">
                  <c:v>3</c:v>
                </c:pt>
              </c:numCache>
            </c:numRef>
          </c:val>
          <c:extLst>
            <c:ext xmlns:c16="http://schemas.microsoft.com/office/drawing/2014/chart" uri="{C3380CC4-5D6E-409C-BE32-E72D297353CC}">
              <c16:uniqueId val="{00000001-E347-4ADA-9DF1-962F155AFE6D}"/>
            </c:ext>
          </c:extLst>
        </c:ser>
        <c:ser>
          <c:idx val="2"/>
          <c:order val="2"/>
          <c:tx>
            <c:strRef>
              <c:f>Trade_off!$E$30</c:f>
              <c:strCache>
                <c:ptCount val="1"/>
                <c:pt idx="0">
                  <c:v>Option 3</c:v>
                </c:pt>
              </c:strCache>
            </c:strRef>
          </c:tx>
          <c:spPr>
            <a:ln w="28575" cap="rnd">
              <a:solidFill>
                <a:schemeClr val="accent3"/>
              </a:solidFill>
              <a:round/>
            </a:ln>
            <a:effectLst/>
          </c:spPr>
          <c:marker>
            <c:symbol val="none"/>
          </c:marker>
          <c:cat>
            <c:strLit>
              <c:ptCount val="4"/>
              <c:pt idx="0">
                <c:v>Mass</c:v>
              </c:pt>
              <c:pt idx="1">
                <c:v>Cost</c:v>
              </c:pt>
              <c:pt idx="2">
                <c:v>Power</c:v>
              </c:pt>
              <c:pt idx="3">
                <c:v>Equilibrium temperature</c:v>
              </c:pt>
              <c:pt idx="4">
                <c:v>E</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Trade_off!$E$32:$E$35</c15:sqref>
                  </c15:fullRef>
                </c:ext>
              </c:extLst>
              <c:f>Trade_off!$E$32:$E$35</c:f>
              <c:numCache>
                <c:formatCode>General</c:formatCode>
                <c:ptCount val="4"/>
                <c:pt idx="0">
                  <c:v>3</c:v>
                </c:pt>
                <c:pt idx="1">
                  <c:v>4</c:v>
                </c:pt>
                <c:pt idx="2">
                  <c:v>2</c:v>
                </c:pt>
                <c:pt idx="3">
                  <c:v>1</c:v>
                </c:pt>
              </c:numCache>
            </c:numRef>
          </c:val>
          <c:extLst>
            <c:ext xmlns:c16="http://schemas.microsoft.com/office/drawing/2014/chart" uri="{C3380CC4-5D6E-409C-BE32-E72D297353CC}">
              <c16:uniqueId val="{00000002-E347-4ADA-9DF1-962F155AFE6D}"/>
            </c:ext>
          </c:extLst>
        </c:ser>
        <c:dLbls>
          <c:showLegendKey val="0"/>
          <c:showVal val="0"/>
          <c:showCatName val="0"/>
          <c:showSerName val="0"/>
          <c:showPercent val="0"/>
          <c:showBubbleSize val="0"/>
        </c:dLbls>
        <c:axId val="592043480"/>
        <c:axId val="592036264"/>
      </c:radarChart>
      <c:catAx>
        <c:axId val="592043480"/>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036264"/>
        <c:crosses val="autoZero"/>
        <c:auto val="1"/>
        <c:lblAlgn val="ctr"/>
        <c:lblOffset val="100"/>
        <c:noMultiLvlLbl val="0"/>
      </c:catAx>
      <c:valAx>
        <c:axId val="592036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204348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94C7FDD0-AAD2-419C-AFC9-BBBE6FC36DB3}" type="doc">
      <dgm:prSet loTypeId="urn:microsoft.com/office/officeart/2009/layout/CirclePictureHierarchy" loCatId="hierarchy" qsTypeId="urn:microsoft.com/office/officeart/2005/8/quickstyle/simple1" qsCatId="simple" csTypeId="urn:microsoft.com/office/officeart/2005/8/colors/accent1_2" csCatId="accent1" phldr="0"/>
      <dgm:spPr/>
      <dgm:t>
        <a:bodyPr/>
        <a:lstStyle/>
        <a:p>
          <a:endParaRPr lang="en-US"/>
        </a:p>
      </dgm:t>
    </dgm:pt>
    <dgm:pt modelId="{E9667564-14AD-45D3-ACD8-C1ABCCBCC63E}">
      <dgm:prSet phldrT="[Text]" phldr="1"/>
      <dgm:spPr/>
      <dgm:t>
        <a:bodyPr/>
        <a:lstStyle/>
        <a:p>
          <a:endParaRPr lang="en-US"/>
        </a:p>
      </dgm:t>
    </dgm:pt>
    <dgm:pt modelId="{90463D30-C616-4947-BC17-7590517A7167}" type="parTrans" cxnId="{D750873F-D599-49FF-92CD-DE1E3473E623}">
      <dgm:prSet/>
      <dgm:spPr/>
      <dgm:t>
        <a:bodyPr/>
        <a:lstStyle/>
        <a:p>
          <a:endParaRPr lang="en-US"/>
        </a:p>
      </dgm:t>
    </dgm:pt>
    <dgm:pt modelId="{99978BF7-BFAD-4259-8CD5-F930CF966C34}" type="sibTrans" cxnId="{D750873F-D599-49FF-92CD-DE1E3473E623}">
      <dgm:prSet/>
      <dgm:spPr/>
      <dgm:t>
        <a:bodyPr/>
        <a:lstStyle/>
        <a:p>
          <a:endParaRPr lang="en-US"/>
        </a:p>
      </dgm:t>
    </dgm:pt>
    <dgm:pt modelId="{6A07B9C6-4160-455E-8C74-72F18E901367}">
      <dgm:prSet phldrT="[Text]" phldr="1"/>
      <dgm:spPr/>
      <dgm:t>
        <a:bodyPr/>
        <a:lstStyle/>
        <a:p>
          <a:endParaRPr lang="en-US"/>
        </a:p>
      </dgm:t>
    </dgm:pt>
    <dgm:pt modelId="{D12E1C3C-E60F-4DB2-B574-8BF0636F23C6}" type="parTrans" cxnId="{BC852D4C-3A6E-455F-9FA5-08D3D8E73CAA}">
      <dgm:prSet/>
      <dgm:spPr/>
      <dgm:t>
        <a:bodyPr/>
        <a:lstStyle/>
        <a:p>
          <a:endParaRPr lang="en-US"/>
        </a:p>
      </dgm:t>
    </dgm:pt>
    <dgm:pt modelId="{4A84A777-7845-4F2B-80FF-4CA141BEC0D8}" type="sibTrans" cxnId="{BC852D4C-3A6E-455F-9FA5-08D3D8E73CAA}">
      <dgm:prSet/>
      <dgm:spPr/>
      <dgm:t>
        <a:bodyPr/>
        <a:lstStyle/>
        <a:p>
          <a:endParaRPr lang="en-US"/>
        </a:p>
      </dgm:t>
    </dgm:pt>
    <dgm:pt modelId="{664B6403-71A3-4A6B-B058-991FE51306E9}">
      <dgm:prSet phldrT="[Text]" phldr="1"/>
      <dgm:spPr/>
      <dgm:t>
        <a:bodyPr/>
        <a:lstStyle/>
        <a:p>
          <a:endParaRPr lang="en-US"/>
        </a:p>
      </dgm:t>
    </dgm:pt>
    <dgm:pt modelId="{E56C7C4E-AC5E-4B58-889C-C4F9F4F6EC69}" type="parTrans" cxnId="{1AA4B005-4E6D-42EE-ADB2-27DFCD8DE4FC}">
      <dgm:prSet/>
      <dgm:spPr/>
      <dgm:t>
        <a:bodyPr/>
        <a:lstStyle/>
        <a:p>
          <a:endParaRPr lang="en-US"/>
        </a:p>
      </dgm:t>
    </dgm:pt>
    <dgm:pt modelId="{81BE5DF3-4CD0-4787-BBD6-95FFE8CE7B8F}" type="sibTrans" cxnId="{1AA4B005-4E6D-42EE-ADB2-27DFCD8DE4FC}">
      <dgm:prSet/>
      <dgm:spPr/>
      <dgm:t>
        <a:bodyPr/>
        <a:lstStyle/>
        <a:p>
          <a:endParaRPr lang="en-US"/>
        </a:p>
      </dgm:t>
    </dgm:pt>
    <dgm:pt modelId="{9DAACB1A-536C-4D6D-BFDC-D39639F80174}">
      <dgm:prSet phldrT="[Text]" phldr="1"/>
      <dgm:spPr/>
      <dgm:t>
        <a:bodyPr/>
        <a:lstStyle/>
        <a:p>
          <a:endParaRPr lang="en-US"/>
        </a:p>
      </dgm:t>
    </dgm:pt>
    <dgm:pt modelId="{92E9788D-3B23-4B6C-995A-7778D4AC8E10}" type="parTrans" cxnId="{1AED4339-CE92-4CDE-8451-5FBBAB0269F1}">
      <dgm:prSet/>
      <dgm:spPr/>
      <dgm:t>
        <a:bodyPr/>
        <a:lstStyle/>
        <a:p>
          <a:endParaRPr lang="en-US"/>
        </a:p>
      </dgm:t>
    </dgm:pt>
    <dgm:pt modelId="{B4C9E62B-44F1-4FCA-AEDB-B576BD615C54}" type="sibTrans" cxnId="{1AED4339-CE92-4CDE-8451-5FBBAB0269F1}">
      <dgm:prSet/>
      <dgm:spPr/>
      <dgm:t>
        <a:bodyPr/>
        <a:lstStyle/>
        <a:p>
          <a:endParaRPr lang="en-US"/>
        </a:p>
      </dgm:t>
    </dgm:pt>
    <dgm:pt modelId="{B818A29B-1AD6-44C3-9273-13235861DD41}">
      <dgm:prSet phldrT="[Text]" phldr="1"/>
      <dgm:spPr/>
      <dgm:t>
        <a:bodyPr/>
        <a:lstStyle/>
        <a:p>
          <a:endParaRPr lang="en-US"/>
        </a:p>
      </dgm:t>
    </dgm:pt>
    <dgm:pt modelId="{575E53D2-A59E-4C85-8F59-481525832D97}" type="parTrans" cxnId="{EA8B1F48-0067-4C91-913E-18D6FEFFC3C8}">
      <dgm:prSet/>
      <dgm:spPr/>
      <dgm:t>
        <a:bodyPr/>
        <a:lstStyle/>
        <a:p>
          <a:endParaRPr lang="en-US"/>
        </a:p>
      </dgm:t>
    </dgm:pt>
    <dgm:pt modelId="{FE99A47F-FEF5-4E37-BD52-D407DE30E077}" type="sibTrans" cxnId="{EA8B1F48-0067-4C91-913E-18D6FEFFC3C8}">
      <dgm:prSet/>
      <dgm:spPr/>
      <dgm:t>
        <a:bodyPr/>
        <a:lstStyle/>
        <a:p>
          <a:endParaRPr lang="en-US"/>
        </a:p>
      </dgm:t>
    </dgm:pt>
    <dgm:pt modelId="{5FA9ACC2-E1DA-4FC0-BDF7-01D6332DA02E}">
      <dgm:prSet phldrT="[Text]" phldr="1"/>
      <dgm:spPr/>
      <dgm:t>
        <a:bodyPr/>
        <a:lstStyle/>
        <a:p>
          <a:endParaRPr lang="en-US"/>
        </a:p>
      </dgm:t>
    </dgm:pt>
    <dgm:pt modelId="{C7FF01E2-BA5D-4E8E-97F7-C615D0DF98F8}" type="parTrans" cxnId="{F5CF10D8-5D8F-4731-9DA2-5A96401441DE}">
      <dgm:prSet/>
      <dgm:spPr/>
      <dgm:t>
        <a:bodyPr/>
        <a:lstStyle/>
        <a:p>
          <a:endParaRPr lang="en-US"/>
        </a:p>
      </dgm:t>
    </dgm:pt>
    <dgm:pt modelId="{52E1DEF9-2D8A-4EFE-BA82-C7F4E6A81D0C}" type="sibTrans" cxnId="{F5CF10D8-5D8F-4731-9DA2-5A96401441DE}">
      <dgm:prSet/>
      <dgm:spPr/>
      <dgm:t>
        <a:bodyPr/>
        <a:lstStyle/>
        <a:p>
          <a:endParaRPr lang="en-US"/>
        </a:p>
      </dgm:t>
    </dgm:pt>
    <dgm:pt modelId="{343FD467-F3FB-46CF-BB12-385E867A5184}" type="pres">
      <dgm:prSet presAssocID="{94C7FDD0-AAD2-419C-AFC9-BBBE6FC36DB3}" presName="hierChild1" presStyleCnt="0">
        <dgm:presLayoutVars>
          <dgm:chPref val="1"/>
          <dgm:dir/>
          <dgm:animOne val="branch"/>
          <dgm:animLvl val="lvl"/>
          <dgm:resizeHandles/>
        </dgm:presLayoutVars>
      </dgm:prSet>
      <dgm:spPr/>
      <dgm:t>
        <a:bodyPr/>
        <a:lstStyle/>
        <a:p>
          <a:endParaRPr lang="en-US"/>
        </a:p>
      </dgm:t>
    </dgm:pt>
    <dgm:pt modelId="{B1A89F8C-C6D4-45D7-A95D-988D543CE467}" type="pres">
      <dgm:prSet presAssocID="{E9667564-14AD-45D3-ACD8-C1ABCCBCC63E}" presName="hierRoot1" presStyleCnt="0"/>
      <dgm:spPr/>
    </dgm:pt>
    <dgm:pt modelId="{B80E2564-7341-4560-94FF-11EE2C253BA5}" type="pres">
      <dgm:prSet presAssocID="{E9667564-14AD-45D3-ACD8-C1ABCCBCC63E}" presName="composite" presStyleCnt="0"/>
      <dgm:spPr/>
    </dgm:pt>
    <dgm:pt modelId="{7B8EC359-1DC9-40A7-BE23-29B312694D6D}" type="pres">
      <dgm:prSet presAssocID="{E9667564-14AD-45D3-ACD8-C1ABCCBCC63E}" presName="image" presStyleLbl="node0" presStyleIdx="0" presStyleCnt="1"/>
      <dgm:spPr/>
    </dgm:pt>
    <dgm:pt modelId="{9F781E3E-3DC2-4767-882E-70745A7F3EC5}" type="pres">
      <dgm:prSet presAssocID="{E9667564-14AD-45D3-ACD8-C1ABCCBCC63E}" presName="text" presStyleLbl="revTx" presStyleIdx="0" presStyleCnt="6">
        <dgm:presLayoutVars>
          <dgm:chPref val="3"/>
        </dgm:presLayoutVars>
      </dgm:prSet>
      <dgm:spPr/>
      <dgm:t>
        <a:bodyPr/>
        <a:lstStyle/>
        <a:p>
          <a:endParaRPr lang="en-US"/>
        </a:p>
      </dgm:t>
    </dgm:pt>
    <dgm:pt modelId="{64F02A9C-8D20-402F-86F0-015C5CD6677B}" type="pres">
      <dgm:prSet presAssocID="{E9667564-14AD-45D3-ACD8-C1ABCCBCC63E}" presName="hierChild2" presStyleCnt="0"/>
      <dgm:spPr/>
    </dgm:pt>
    <dgm:pt modelId="{0BD93774-5544-47E6-A145-4356ABA9BBD9}" type="pres">
      <dgm:prSet presAssocID="{D12E1C3C-E60F-4DB2-B574-8BF0636F23C6}" presName="Name10" presStyleLbl="parChTrans1D2" presStyleIdx="0" presStyleCnt="2"/>
      <dgm:spPr/>
      <dgm:t>
        <a:bodyPr/>
        <a:lstStyle/>
        <a:p>
          <a:endParaRPr lang="en-US"/>
        </a:p>
      </dgm:t>
    </dgm:pt>
    <dgm:pt modelId="{0ABD5E6B-692E-41C4-8544-142283DA578C}" type="pres">
      <dgm:prSet presAssocID="{6A07B9C6-4160-455E-8C74-72F18E901367}" presName="hierRoot2" presStyleCnt="0"/>
      <dgm:spPr/>
    </dgm:pt>
    <dgm:pt modelId="{BE0260C9-70DB-4433-806B-6DCA26C492CE}" type="pres">
      <dgm:prSet presAssocID="{6A07B9C6-4160-455E-8C74-72F18E901367}" presName="composite2" presStyleCnt="0"/>
      <dgm:spPr/>
    </dgm:pt>
    <dgm:pt modelId="{BA7709C3-4A7D-4077-B8D4-23D52909BE2B}" type="pres">
      <dgm:prSet presAssocID="{6A07B9C6-4160-455E-8C74-72F18E901367}" presName="image2" presStyleLbl="node2" presStyleIdx="0" presStyleCnt="2"/>
      <dgm:spPr/>
    </dgm:pt>
    <dgm:pt modelId="{41289680-632B-42A4-BCE5-4C20A233DA89}" type="pres">
      <dgm:prSet presAssocID="{6A07B9C6-4160-455E-8C74-72F18E901367}" presName="text2" presStyleLbl="revTx" presStyleIdx="1" presStyleCnt="6">
        <dgm:presLayoutVars>
          <dgm:chPref val="3"/>
        </dgm:presLayoutVars>
      </dgm:prSet>
      <dgm:spPr/>
      <dgm:t>
        <a:bodyPr/>
        <a:lstStyle/>
        <a:p>
          <a:endParaRPr lang="en-US"/>
        </a:p>
      </dgm:t>
    </dgm:pt>
    <dgm:pt modelId="{DB3FD418-A445-44D7-8691-DCB43991B827}" type="pres">
      <dgm:prSet presAssocID="{6A07B9C6-4160-455E-8C74-72F18E901367}" presName="hierChild3" presStyleCnt="0"/>
      <dgm:spPr/>
    </dgm:pt>
    <dgm:pt modelId="{8886C317-73EB-439B-AF8C-24AC2053367A}" type="pres">
      <dgm:prSet presAssocID="{E56C7C4E-AC5E-4B58-889C-C4F9F4F6EC69}" presName="Name17" presStyleLbl="parChTrans1D3" presStyleIdx="0" presStyleCnt="3"/>
      <dgm:spPr/>
      <dgm:t>
        <a:bodyPr/>
        <a:lstStyle/>
        <a:p>
          <a:endParaRPr lang="en-US"/>
        </a:p>
      </dgm:t>
    </dgm:pt>
    <dgm:pt modelId="{A392556A-C14F-4D54-AEFD-C721D44F7C5A}" type="pres">
      <dgm:prSet presAssocID="{664B6403-71A3-4A6B-B058-991FE51306E9}" presName="hierRoot3" presStyleCnt="0"/>
      <dgm:spPr/>
    </dgm:pt>
    <dgm:pt modelId="{377AC492-B950-47F0-9EE1-17681839B577}" type="pres">
      <dgm:prSet presAssocID="{664B6403-71A3-4A6B-B058-991FE51306E9}" presName="composite3" presStyleCnt="0"/>
      <dgm:spPr/>
    </dgm:pt>
    <dgm:pt modelId="{D5E7A8B0-6A3A-4D79-A0D2-3741B750C434}" type="pres">
      <dgm:prSet presAssocID="{664B6403-71A3-4A6B-B058-991FE51306E9}" presName="image3" presStyleLbl="node3" presStyleIdx="0" presStyleCnt="3"/>
      <dgm:spPr/>
    </dgm:pt>
    <dgm:pt modelId="{C7C737C7-06D8-49B6-8471-838B1324602B}" type="pres">
      <dgm:prSet presAssocID="{664B6403-71A3-4A6B-B058-991FE51306E9}" presName="text3" presStyleLbl="revTx" presStyleIdx="2" presStyleCnt="6">
        <dgm:presLayoutVars>
          <dgm:chPref val="3"/>
        </dgm:presLayoutVars>
      </dgm:prSet>
      <dgm:spPr/>
      <dgm:t>
        <a:bodyPr/>
        <a:lstStyle/>
        <a:p>
          <a:endParaRPr lang="en-US"/>
        </a:p>
      </dgm:t>
    </dgm:pt>
    <dgm:pt modelId="{792C1E6D-1E13-47DE-8446-FEC633A56940}" type="pres">
      <dgm:prSet presAssocID="{664B6403-71A3-4A6B-B058-991FE51306E9}" presName="hierChild4" presStyleCnt="0"/>
      <dgm:spPr/>
    </dgm:pt>
    <dgm:pt modelId="{41B01B65-88F7-4158-BFC4-30E0EF0E5D42}" type="pres">
      <dgm:prSet presAssocID="{92E9788D-3B23-4B6C-995A-7778D4AC8E10}" presName="Name17" presStyleLbl="parChTrans1D3" presStyleIdx="1" presStyleCnt="3"/>
      <dgm:spPr/>
      <dgm:t>
        <a:bodyPr/>
        <a:lstStyle/>
        <a:p>
          <a:endParaRPr lang="en-US"/>
        </a:p>
      </dgm:t>
    </dgm:pt>
    <dgm:pt modelId="{0F59BE54-BEE8-484E-B9A1-BB01042F8041}" type="pres">
      <dgm:prSet presAssocID="{9DAACB1A-536C-4D6D-BFDC-D39639F80174}" presName="hierRoot3" presStyleCnt="0"/>
      <dgm:spPr/>
    </dgm:pt>
    <dgm:pt modelId="{BCFEE3CA-EBCD-40D1-AC85-AF8CCDB0088D}" type="pres">
      <dgm:prSet presAssocID="{9DAACB1A-536C-4D6D-BFDC-D39639F80174}" presName="composite3" presStyleCnt="0"/>
      <dgm:spPr/>
    </dgm:pt>
    <dgm:pt modelId="{B723AF5F-FDBC-4CAD-B15D-2D38F9A0770C}" type="pres">
      <dgm:prSet presAssocID="{9DAACB1A-536C-4D6D-BFDC-D39639F80174}" presName="image3" presStyleLbl="node3" presStyleIdx="1" presStyleCnt="3"/>
      <dgm:spPr/>
    </dgm:pt>
    <dgm:pt modelId="{6A8A9762-97A0-4179-96E8-58A267043AA7}" type="pres">
      <dgm:prSet presAssocID="{9DAACB1A-536C-4D6D-BFDC-D39639F80174}" presName="text3" presStyleLbl="revTx" presStyleIdx="3" presStyleCnt="6">
        <dgm:presLayoutVars>
          <dgm:chPref val="3"/>
        </dgm:presLayoutVars>
      </dgm:prSet>
      <dgm:spPr/>
      <dgm:t>
        <a:bodyPr/>
        <a:lstStyle/>
        <a:p>
          <a:endParaRPr lang="en-US"/>
        </a:p>
      </dgm:t>
    </dgm:pt>
    <dgm:pt modelId="{E2DDB516-C27C-44AF-A684-E947AD9E08BD}" type="pres">
      <dgm:prSet presAssocID="{9DAACB1A-536C-4D6D-BFDC-D39639F80174}" presName="hierChild4" presStyleCnt="0"/>
      <dgm:spPr/>
    </dgm:pt>
    <dgm:pt modelId="{CE07A075-C6A1-4671-9E47-E00AACDC435B}" type="pres">
      <dgm:prSet presAssocID="{575E53D2-A59E-4C85-8F59-481525832D97}" presName="Name10" presStyleLbl="parChTrans1D2" presStyleIdx="1" presStyleCnt="2"/>
      <dgm:spPr/>
      <dgm:t>
        <a:bodyPr/>
        <a:lstStyle/>
        <a:p>
          <a:endParaRPr lang="en-US"/>
        </a:p>
      </dgm:t>
    </dgm:pt>
    <dgm:pt modelId="{3EFC0676-4ADC-4382-AFC5-7785DD8A0D4A}" type="pres">
      <dgm:prSet presAssocID="{B818A29B-1AD6-44C3-9273-13235861DD41}" presName="hierRoot2" presStyleCnt="0"/>
      <dgm:spPr/>
    </dgm:pt>
    <dgm:pt modelId="{70772DD0-DD3C-41AC-9BE0-FA5E35EDC956}" type="pres">
      <dgm:prSet presAssocID="{B818A29B-1AD6-44C3-9273-13235861DD41}" presName="composite2" presStyleCnt="0"/>
      <dgm:spPr/>
    </dgm:pt>
    <dgm:pt modelId="{0E01F25D-3137-42B4-8BD4-03972C203C14}" type="pres">
      <dgm:prSet presAssocID="{B818A29B-1AD6-44C3-9273-13235861DD41}" presName="image2" presStyleLbl="node2" presStyleIdx="1" presStyleCnt="2"/>
      <dgm:spPr/>
    </dgm:pt>
    <dgm:pt modelId="{0060D829-33CC-4C76-8842-21284DEF264C}" type="pres">
      <dgm:prSet presAssocID="{B818A29B-1AD6-44C3-9273-13235861DD41}" presName="text2" presStyleLbl="revTx" presStyleIdx="4" presStyleCnt="6">
        <dgm:presLayoutVars>
          <dgm:chPref val="3"/>
        </dgm:presLayoutVars>
      </dgm:prSet>
      <dgm:spPr/>
      <dgm:t>
        <a:bodyPr/>
        <a:lstStyle/>
        <a:p>
          <a:endParaRPr lang="en-US"/>
        </a:p>
      </dgm:t>
    </dgm:pt>
    <dgm:pt modelId="{26D5A822-8DFB-4B65-9775-3785A960924A}" type="pres">
      <dgm:prSet presAssocID="{B818A29B-1AD6-44C3-9273-13235861DD41}" presName="hierChild3" presStyleCnt="0"/>
      <dgm:spPr/>
    </dgm:pt>
    <dgm:pt modelId="{00CFC339-A71B-4DCF-A73A-8C8431BD8F3B}" type="pres">
      <dgm:prSet presAssocID="{C7FF01E2-BA5D-4E8E-97F7-C615D0DF98F8}" presName="Name17" presStyleLbl="parChTrans1D3" presStyleIdx="2" presStyleCnt="3"/>
      <dgm:spPr/>
      <dgm:t>
        <a:bodyPr/>
        <a:lstStyle/>
        <a:p>
          <a:endParaRPr lang="en-US"/>
        </a:p>
      </dgm:t>
    </dgm:pt>
    <dgm:pt modelId="{FBD27A44-5684-42B8-9137-0905DBDB55B1}" type="pres">
      <dgm:prSet presAssocID="{5FA9ACC2-E1DA-4FC0-BDF7-01D6332DA02E}" presName="hierRoot3" presStyleCnt="0"/>
      <dgm:spPr/>
    </dgm:pt>
    <dgm:pt modelId="{4FFA733C-3C53-4540-99F5-8BDC48A03509}" type="pres">
      <dgm:prSet presAssocID="{5FA9ACC2-E1DA-4FC0-BDF7-01D6332DA02E}" presName="composite3" presStyleCnt="0"/>
      <dgm:spPr/>
    </dgm:pt>
    <dgm:pt modelId="{62585ED3-DD1F-468F-8727-16492DB18598}" type="pres">
      <dgm:prSet presAssocID="{5FA9ACC2-E1DA-4FC0-BDF7-01D6332DA02E}" presName="image3" presStyleLbl="node3" presStyleIdx="2" presStyleCnt="3"/>
      <dgm:spPr/>
    </dgm:pt>
    <dgm:pt modelId="{A04719F1-4AB0-48E7-B90A-7127CA78C5DA}" type="pres">
      <dgm:prSet presAssocID="{5FA9ACC2-E1DA-4FC0-BDF7-01D6332DA02E}" presName="text3" presStyleLbl="revTx" presStyleIdx="5" presStyleCnt="6">
        <dgm:presLayoutVars>
          <dgm:chPref val="3"/>
        </dgm:presLayoutVars>
      </dgm:prSet>
      <dgm:spPr/>
      <dgm:t>
        <a:bodyPr/>
        <a:lstStyle/>
        <a:p>
          <a:endParaRPr lang="en-US"/>
        </a:p>
      </dgm:t>
    </dgm:pt>
    <dgm:pt modelId="{394CE9F0-BC87-467D-9DEA-8BFF3DCB5242}" type="pres">
      <dgm:prSet presAssocID="{5FA9ACC2-E1DA-4FC0-BDF7-01D6332DA02E}" presName="hierChild4" presStyleCnt="0"/>
      <dgm:spPr/>
    </dgm:pt>
  </dgm:ptLst>
  <dgm:cxnLst>
    <dgm:cxn modelId="{F490AF73-43EB-4319-B7AF-FADB4E0771A4}" type="presOf" srcId="{92E9788D-3B23-4B6C-995A-7778D4AC8E10}" destId="{41B01B65-88F7-4158-BFC4-30E0EF0E5D42}" srcOrd="0" destOrd="0" presId="urn:microsoft.com/office/officeart/2009/layout/CirclePictureHierarchy"/>
    <dgm:cxn modelId="{7556D466-CA85-4435-8081-3F508E7BD14A}" type="presOf" srcId="{B818A29B-1AD6-44C3-9273-13235861DD41}" destId="{0060D829-33CC-4C76-8842-21284DEF264C}" srcOrd="0" destOrd="0" presId="urn:microsoft.com/office/officeart/2009/layout/CirclePictureHierarchy"/>
    <dgm:cxn modelId="{6EB6AB43-4924-4269-B20D-91FDE2A33200}" type="presOf" srcId="{9DAACB1A-536C-4D6D-BFDC-D39639F80174}" destId="{6A8A9762-97A0-4179-96E8-58A267043AA7}" srcOrd="0" destOrd="0" presId="urn:microsoft.com/office/officeart/2009/layout/CirclePictureHierarchy"/>
    <dgm:cxn modelId="{EDF0B1E6-6948-49A3-BE0B-508F6728F6F2}" type="presOf" srcId="{6A07B9C6-4160-455E-8C74-72F18E901367}" destId="{41289680-632B-42A4-BCE5-4C20A233DA89}" srcOrd="0" destOrd="0" presId="urn:microsoft.com/office/officeart/2009/layout/CirclePictureHierarchy"/>
    <dgm:cxn modelId="{95F6A97E-6EDB-4E08-8872-79FC742E8C1D}" type="presOf" srcId="{C7FF01E2-BA5D-4E8E-97F7-C615D0DF98F8}" destId="{00CFC339-A71B-4DCF-A73A-8C8431BD8F3B}" srcOrd="0" destOrd="0" presId="urn:microsoft.com/office/officeart/2009/layout/CirclePictureHierarchy"/>
    <dgm:cxn modelId="{98B51426-CC84-454B-A5A1-ACB46C3950FF}" type="presOf" srcId="{5FA9ACC2-E1DA-4FC0-BDF7-01D6332DA02E}" destId="{A04719F1-4AB0-48E7-B90A-7127CA78C5DA}" srcOrd="0" destOrd="0" presId="urn:microsoft.com/office/officeart/2009/layout/CirclePictureHierarchy"/>
    <dgm:cxn modelId="{CD8F3423-FCF2-4185-B764-13EE759361BA}" type="presOf" srcId="{E9667564-14AD-45D3-ACD8-C1ABCCBCC63E}" destId="{9F781E3E-3DC2-4767-882E-70745A7F3EC5}" srcOrd="0" destOrd="0" presId="urn:microsoft.com/office/officeart/2009/layout/CirclePictureHierarchy"/>
    <dgm:cxn modelId="{BC852D4C-3A6E-455F-9FA5-08D3D8E73CAA}" srcId="{E9667564-14AD-45D3-ACD8-C1ABCCBCC63E}" destId="{6A07B9C6-4160-455E-8C74-72F18E901367}" srcOrd="0" destOrd="0" parTransId="{D12E1C3C-E60F-4DB2-B574-8BF0636F23C6}" sibTransId="{4A84A777-7845-4F2B-80FF-4CA141BEC0D8}"/>
    <dgm:cxn modelId="{F5CF10D8-5D8F-4731-9DA2-5A96401441DE}" srcId="{B818A29B-1AD6-44C3-9273-13235861DD41}" destId="{5FA9ACC2-E1DA-4FC0-BDF7-01D6332DA02E}" srcOrd="0" destOrd="0" parTransId="{C7FF01E2-BA5D-4E8E-97F7-C615D0DF98F8}" sibTransId="{52E1DEF9-2D8A-4EFE-BA82-C7F4E6A81D0C}"/>
    <dgm:cxn modelId="{1AED4339-CE92-4CDE-8451-5FBBAB0269F1}" srcId="{6A07B9C6-4160-455E-8C74-72F18E901367}" destId="{9DAACB1A-536C-4D6D-BFDC-D39639F80174}" srcOrd="1" destOrd="0" parTransId="{92E9788D-3B23-4B6C-995A-7778D4AC8E10}" sibTransId="{B4C9E62B-44F1-4FCA-AEDB-B576BD615C54}"/>
    <dgm:cxn modelId="{966FE45F-4827-4DA0-807A-67872EF4D582}" type="presOf" srcId="{664B6403-71A3-4A6B-B058-991FE51306E9}" destId="{C7C737C7-06D8-49B6-8471-838B1324602B}" srcOrd="0" destOrd="0" presId="urn:microsoft.com/office/officeart/2009/layout/CirclePictureHierarchy"/>
    <dgm:cxn modelId="{D750873F-D599-49FF-92CD-DE1E3473E623}" srcId="{94C7FDD0-AAD2-419C-AFC9-BBBE6FC36DB3}" destId="{E9667564-14AD-45D3-ACD8-C1ABCCBCC63E}" srcOrd="0" destOrd="0" parTransId="{90463D30-C616-4947-BC17-7590517A7167}" sibTransId="{99978BF7-BFAD-4259-8CD5-F930CF966C34}"/>
    <dgm:cxn modelId="{9350AD66-C4E4-4508-A764-B36EE51D352C}" type="presOf" srcId="{575E53D2-A59E-4C85-8F59-481525832D97}" destId="{CE07A075-C6A1-4671-9E47-E00AACDC435B}" srcOrd="0" destOrd="0" presId="urn:microsoft.com/office/officeart/2009/layout/CirclePictureHierarchy"/>
    <dgm:cxn modelId="{3FF5B5A9-461F-48CE-A0A5-799F0EDD3FA5}" type="presOf" srcId="{94C7FDD0-AAD2-419C-AFC9-BBBE6FC36DB3}" destId="{343FD467-F3FB-46CF-BB12-385E867A5184}" srcOrd="0" destOrd="0" presId="urn:microsoft.com/office/officeart/2009/layout/CirclePictureHierarchy"/>
    <dgm:cxn modelId="{EA8B1F48-0067-4C91-913E-18D6FEFFC3C8}" srcId="{E9667564-14AD-45D3-ACD8-C1ABCCBCC63E}" destId="{B818A29B-1AD6-44C3-9273-13235861DD41}" srcOrd="1" destOrd="0" parTransId="{575E53D2-A59E-4C85-8F59-481525832D97}" sibTransId="{FE99A47F-FEF5-4E37-BD52-D407DE30E077}"/>
    <dgm:cxn modelId="{1AA4B005-4E6D-42EE-ADB2-27DFCD8DE4FC}" srcId="{6A07B9C6-4160-455E-8C74-72F18E901367}" destId="{664B6403-71A3-4A6B-B058-991FE51306E9}" srcOrd="0" destOrd="0" parTransId="{E56C7C4E-AC5E-4B58-889C-C4F9F4F6EC69}" sibTransId="{81BE5DF3-4CD0-4787-BBD6-95FFE8CE7B8F}"/>
    <dgm:cxn modelId="{DCEAED7D-9FD1-4EC1-AE5B-CDE4CF4E662C}" type="presOf" srcId="{D12E1C3C-E60F-4DB2-B574-8BF0636F23C6}" destId="{0BD93774-5544-47E6-A145-4356ABA9BBD9}" srcOrd="0" destOrd="0" presId="urn:microsoft.com/office/officeart/2009/layout/CirclePictureHierarchy"/>
    <dgm:cxn modelId="{FC9C29BC-9A36-4E77-9F75-63718544A722}" type="presOf" srcId="{E56C7C4E-AC5E-4B58-889C-C4F9F4F6EC69}" destId="{8886C317-73EB-439B-AF8C-24AC2053367A}" srcOrd="0" destOrd="0" presId="urn:microsoft.com/office/officeart/2009/layout/CirclePictureHierarchy"/>
    <dgm:cxn modelId="{7D12296E-9008-4251-8CA4-267F1B299232}" type="presParOf" srcId="{343FD467-F3FB-46CF-BB12-385E867A5184}" destId="{B1A89F8C-C6D4-45D7-A95D-988D543CE467}" srcOrd="0" destOrd="0" presId="urn:microsoft.com/office/officeart/2009/layout/CirclePictureHierarchy"/>
    <dgm:cxn modelId="{D96DBEC6-4BAF-4FC8-A4E3-529D22843151}" type="presParOf" srcId="{B1A89F8C-C6D4-45D7-A95D-988D543CE467}" destId="{B80E2564-7341-4560-94FF-11EE2C253BA5}" srcOrd="0" destOrd="0" presId="urn:microsoft.com/office/officeart/2009/layout/CirclePictureHierarchy"/>
    <dgm:cxn modelId="{232C6B0F-F819-46C9-B9B6-0ADBB4F1D7E5}" type="presParOf" srcId="{B80E2564-7341-4560-94FF-11EE2C253BA5}" destId="{7B8EC359-1DC9-40A7-BE23-29B312694D6D}" srcOrd="0" destOrd="0" presId="urn:microsoft.com/office/officeart/2009/layout/CirclePictureHierarchy"/>
    <dgm:cxn modelId="{BC7E9BF4-CCC7-49E5-9B3C-55BB89B3814F}" type="presParOf" srcId="{B80E2564-7341-4560-94FF-11EE2C253BA5}" destId="{9F781E3E-3DC2-4767-882E-70745A7F3EC5}" srcOrd="1" destOrd="0" presId="urn:microsoft.com/office/officeart/2009/layout/CirclePictureHierarchy"/>
    <dgm:cxn modelId="{564E7889-BCFF-4052-822B-3240F7346805}" type="presParOf" srcId="{B1A89F8C-C6D4-45D7-A95D-988D543CE467}" destId="{64F02A9C-8D20-402F-86F0-015C5CD6677B}" srcOrd="1" destOrd="0" presId="urn:microsoft.com/office/officeart/2009/layout/CirclePictureHierarchy"/>
    <dgm:cxn modelId="{E4F03B0C-14B2-4096-8F37-27A690B27AD6}" type="presParOf" srcId="{64F02A9C-8D20-402F-86F0-015C5CD6677B}" destId="{0BD93774-5544-47E6-A145-4356ABA9BBD9}" srcOrd="0" destOrd="0" presId="urn:microsoft.com/office/officeart/2009/layout/CirclePictureHierarchy"/>
    <dgm:cxn modelId="{76959D0E-9A7D-489D-824A-03016E07319C}" type="presParOf" srcId="{64F02A9C-8D20-402F-86F0-015C5CD6677B}" destId="{0ABD5E6B-692E-41C4-8544-142283DA578C}" srcOrd="1" destOrd="0" presId="urn:microsoft.com/office/officeart/2009/layout/CirclePictureHierarchy"/>
    <dgm:cxn modelId="{55FFA3BF-0B64-4A89-ABB7-D021A97B6427}" type="presParOf" srcId="{0ABD5E6B-692E-41C4-8544-142283DA578C}" destId="{BE0260C9-70DB-4433-806B-6DCA26C492CE}" srcOrd="0" destOrd="0" presId="urn:microsoft.com/office/officeart/2009/layout/CirclePictureHierarchy"/>
    <dgm:cxn modelId="{C7BF553C-28AD-4C11-A845-98260290A8C4}" type="presParOf" srcId="{BE0260C9-70DB-4433-806B-6DCA26C492CE}" destId="{BA7709C3-4A7D-4077-B8D4-23D52909BE2B}" srcOrd="0" destOrd="0" presId="urn:microsoft.com/office/officeart/2009/layout/CirclePictureHierarchy"/>
    <dgm:cxn modelId="{DC152646-D26F-441F-9420-D30CB1403EE3}" type="presParOf" srcId="{BE0260C9-70DB-4433-806B-6DCA26C492CE}" destId="{41289680-632B-42A4-BCE5-4C20A233DA89}" srcOrd="1" destOrd="0" presId="urn:microsoft.com/office/officeart/2009/layout/CirclePictureHierarchy"/>
    <dgm:cxn modelId="{4774E73F-6B83-4381-B589-53D1A3CAA9AF}" type="presParOf" srcId="{0ABD5E6B-692E-41C4-8544-142283DA578C}" destId="{DB3FD418-A445-44D7-8691-DCB43991B827}" srcOrd="1" destOrd="0" presId="urn:microsoft.com/office/officeart/2009/layout/CirclePictureHierarchy"/>
    <dgm:cxn modelId="{F6598BA0-DF5E-4E19-8403-CF487E70E315}" type="presParOf" srcId="{DB3FD418-A445-44D7-8691-DCB43991B827}" destId="{8886C317-73EB-439B-AF8C-24AC2053367A}" srcOrd="0" destOrd="0" presId="urn:microsoft.com/office/officeart/2009/layout/CirclePictureHierarchy"/>
    <dgm:cxn modelId="{1852DA2E-8F6B-447F-A11C-E7EF4C03B6B4}" type="presParOf" srcId="{DB3FD418-A445-44D7-8691-DCB43991B827}" destId="{A392556A-C14F-4D54-AEFD-C721D44F7C5A}" srcOrd="1" destOrd="0" presId="urn:microsoft.com/office/officeart/2009/layout/CirclePictureHierarchy"/>
    <dgm:cxn modelId="{56ADF243-77A1-4865-808E-698A6D621D4D}" type="presParOf" srcId="{A392556A-C14F-4D54-AEFD-C721D44F7C5A}" destId="{377AC492-B950-47F0-9EE1-17681839B577}" srcOrd="0" destOrd="0" presId="urn:microsoft.com/office/officeart/2009/layout/CirclePictureHierarchy"/>
    <dgm:cxn modelId="{03F8954C-3C7A-461D-8D01-9FAA1605AA0B}" type="presParOf" srcId="{377AC492-B950-47F0-9EE1-17681839B577}" destId="{D5E7A8B0-6A3A-4D79-A0D2-3741B750C434}" srcOrd="0" destOrd="0" presId="urn:microsoft.com/office/officeart/2009/layout/CirclePictureHierarchy"/>
    <dgm:cxn modelId="{95135ABD-CB11-4947-8E24-3393F7CC625D}" type="presParOf" srcId="{377AC492-B950-47F0-9EE1-17681839B577}" destId="{C7C737C7-06D8-49B6-8471-838B1324602B}" srcOrd="1" destOrd="0" presId="urn:microsoft.com/office/officeart/2009/layout/CirclePictureHierarchy"/>
    <dgm:cxn modelId="{6489907A-2BC0-4EF9-B684-5409909303EE}" type="presParOf" srcId="{A392556A-C14F-4D54-AEFD-C721D44F7C5A}" destId="{792C1E6D-1E13-47DE-8446-FEC633A56940}" srcOrd="1" destOrd="0" presId="urn:microsoft.com/office/officeart/2009/layout/CirclePictureHierarchy"/>
    <dgm:cxn modelId="{24A82C1F-D7AB-4B20-B0F5-75451288E47C}" type="presParOf" srcId="{DB3FD418-A445-44D7-8691-DCB43991B827}" destId="{41B01B65-88F7-4158-BFC4-30E0EF0E5D42}" srcOrd="2" destOrd="0" presId="urn:microsoft.com/office/officeart/2009/layout/CirclePictureHierarchy"/>
    <dgm:cxn modelId="{43A3CC8A-8999-4D6F-A54E-EDFD0CA215FC}" type="presParOf" srcId="{DB3FD418-A445-44D7-8691-DCB43991B827}" destId="{0F59BE54-BEE8-484E-B9A1-BB01042F8041}" srcOrd="3" destOrd="0" presId="urn:microsoft.com/office/officeart/2009/layout/CirclePictureHierarchy"/>
    <dgm:cxn modelId="{B4C8F081-4D2F-49A1-86D9-48BD95F37ED1}" type="presParOf" srcId="{0F59BE54-BEE8-484E-B9A1-BB01042F8041}" destId="{BCFEE3CA-EBCD-40D1-AC85-AF8CCDB0088D}" srcOrd="0" destOrd="0" presId="urn:microsoft.com/office/officeart/2009/layout/CirclePictureHierarchy"/>
    <dgm:cxn modelId="{630C1D7B-1797-4BCE-BC35-C044A11B4FFE}" type="presParOf" srcId="{BCFEE3CA-EBCD-40D1-AC85-AF8CCDB0088D}" destId="{B723AF5F-FDBC-4CAD-B15D-2D38F9A0770C}" srcOrd="0" destOrd="0" presId="urn:microsoft.com/office/officeart/2009/layout/CirclePictureHierarchy"/>
    <dgm:cxn modelId="{7B913FD2-5691-4CE3-B164-C2BE63976326}" type="presParOf" srcId="{BCFEE3CA-EBCD-40D1-AC85-AF8CCDB0088D}" destId="{6A8A9762-97A0-4179-96E8-58A267043AA7}" srcOrd="1" destOrd="0" presId="urn:microsoft.com/office/officeart/2009/layout/CirclePictureHierarchy"/>
    <dgm:cxn modelId="{B911DBC9-4838-416A-B0E2-9E7BB6C00E54}" type="presParOf" srcId="{0F59BE54-BEE8-484E-B9A1-BB01042F8041}" destId="{E2DDB516-C27C-44AF-A684-E947AD9E08BD}" srcOrd="1" destOrd="0" presId="urn:microsoft.com/office/officeart/2009/layout/CirclePictureHierarchy"/>
    <dgm:cxn modelId="{98D0BFDA-46F1-4369-8FF2-6457135BA4B1}" type="presParOf" srcId="{64F02A9C-8D20-402F-86F0-015C5CD6677B}" destId="{CE07A075-C6A1-4671-9E47-E00AACDC435B}" srcOrd="2" destOrd="0" presId="urn:microsoft.com/office/officeart/2009/layout/CirclePictureHierarchy"/>
    <dgm:cxn modelId="{216CFE42-E7D0-4B51-B548-729F213FA53D}" type="presParOf" srcId="{64F02A9C-8D20-402F-86F0-015C5CD6677B}" destId="{3EFC0676-4ADC-4382-AFC5-7785DD8A0D4A}" srcOrd="3" destOrd="0" presId="urn:microsoft.com/office/officeart/2009/layout/CirclePictureHierarchy"/>
    <dgm:cxn modelId="{F8E2792B-4CD1-4DA6-B8C1-C94FD9250F9F}" type="presParOf" srcId="{3EFC0676-4ADC-4382-AFC5-7785DD8A0D4A}" destId="{70772DD0-DD3C-41AC-9BE0-FA5E35EDC956}" srcOrd="0" destOrd="0" presId="urn:microsoft.com/office/officeart/2009/layout/CirclePictureHierarchy"/>
    <dgm:cxn modelId="{16505B6E-6F04-4BC2-816D-BF21FBD3BFAD}" type="presParOf" srcId="{70772DD0-DD3C-41AC-9BE0-FA5E35EDC956}" destId="{0E01F25D-3137-42B4-8BD4-03972C203C14}" srcOrd="0" destOrd="0" presId="urn:microsoft.com/office/officeart/2009/layout/CirclePictureHierarchy"/>
    <dgm:cxn modelId="{7D2F7234-2114-4E36-8060-2E0DF877518E}" type="presParOf" srcId="{70772DD0-DD3C-41AC-9BE0-FA5E35EDC956}" destId="{0060D829-33CC-4C76-8842-21284DEF264C}" srcOrd="1" destOrd="0" presId="urn:microsoft.com/office/officeart/2009/layout/CirclePictureHierarchy"/>
    <dgm:cxn modelId="{EF703541-F62C-4B4E-B9FD-E98F1EE1242A}" type="presParOf" srcId="{3EFC0676-4ADC-4382-AFC5-7785DD8A0D4A}" destId="{26D5A822-8DFB-4B65-9775-3785A960924A}" srcOrd="1" destOrd="0" presId="urn:microsoft.com/office/officeart/2009/layout/CirclePictureHierarchy"/>
    <dgm:cxn modelId="{648E942A-09E6-48B0-AEE1-E55C1565EA5E}" type="presParOf" srcId="{26D5A822-8DFB-4B65-9775-3785A960924A}" destId="{00CFC339-A71B-4DCF-A73A-8C8431BD8F3B}" srcOrd="0" destOrd="0" presId="urn:microsoft.com/office/officeart/2009/layout/CirclePictureHierarchy"/>
    <dgm:cxn modelId="{61A635A0-6495-4AEF-BDF3-F2CCCFB57F29}" type="presParOf" srcId="{26D5A822-8DFB-4B65-9775-3785A960924A}" destId="{FBD27A44-5684-42B8-9137-0905DBDB55B1}" srcOrd="1" destOrd="0" presId="urn:microsoft.com/office/officeart/2009/layout/CirclePictureHierarchy"/>
    <dgm:cxn modelId="{50ACEAC4-5E65-44CA-B5EA-FFA5F74AC2A9}" type="presParOf" srcId="{FBD27A44-5684-42B8-9137-0905DBDB55B1}" destId="{4FFA733C-3C53-4540-99F5-8BDC48A03509}" srcOrd="0" destOrd="0" presId="urn:microsoft.com/office/officeart/2009/layout/CirclePictureHierarchy"/>
    <dgm:cxn modelId="{2913C5BE-E9C7-4B6B-8559-6854FCCF17F0}" type="presParOf" srcId="{4FFA733C-3C53-4540-99F5-8BDC48A03509}" destId="{62585ED3-DD1F-468F-8727-16492DB18598}" srcOrd="0" destOrd="0" presId="urn:microsoft.com/office/officeart/2009/layout/CirclePictureHierarchy"/>
    <dgm:cxn modelId="{771348C7-8A43-40ED-ABED-88ABFA55B716}" type="presParOf" srcId="{4FFA733C-3C53-4540-99F5-8BDC48A03509}" destId="{A04719F1-4AB0-48E7-B90A-7127CA78C5DA}" srcOrd="1" destOrd="0" presId="urn:microsoft.com/office/officeart/2009/layout/CirclePictureHierarchy"/>
    <dgm:cxn modelId="{6A7BBD5F-613D-4EEA-8ECD-2C744C2E436F}" type="presParOf" srcId="{FBD27A44-5684-42B8-9137-0905DBDB55B1}" destId="{394CE9F0-BC87-467D-9DEA-8BFF3DCB5242}" srcOrd="1" destOrd="0" presId="urn:microsoft.com/office/officeart/2009/layout/CirclePictureHierarchy"/>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0CFC339-A71B-4DCF-A73A-8C8431BD8F3B}">
      <dsp:nvSpPr>
        <dsp:cNvPr id="0" name=""/>
        <dsp:cNvSpPr/>
      </dsp:nvSpPr>
      <dsp:spPr>
        <a:xfrm>
          <a:off x="3307079" y="1627885"/>
          <a:ext cx="91440" cy="176022"/>
        </a:xfrm>
        <a:custGeom>
          <a:avLst/>
          <a:gdLst/>
          <a:ahLst/>
          <a:cxnLst/>
          <a:rect l="0" t="0" r="0" b="0"/>
          <a:pathLst>
            <a:path>
              <a:moveTo>
                <a:pt x="45720" y="0"/>
              </a:moveTo>
              <a:lnTo>
                <a:pt x="45720" y="17602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E07A075-C6A1-4671-9E47-E00AACDC435B}">
      <dsp:nvSpPr>
        <dsp:cNvPr id="0" name=""/>
        <dsp:cNvSpPr/>
      </dsp:nvSpPr>
      <dsp:spPr>
        <a:xfrm>
          <a:off x="2200274" y="893063"/>
          <a:ext cx="1152524" cy="176021"/>
        </a:xfrm>
        <a:custGeom>
          <a:avLst/>
          <a:gdLst/>
          <a:ahLst/>
          <a:cxnLst/>
          <a:rect l="0" t="0" r="0" b="0"/>
          <a:pathLst>
            <a:path>
              <a:moveTo>
                <a:pt x="0" y="0"/>
              </a:moveTo>
              <a:lnTo>
                <a:pt x="0" y="88709"/>
              </a:lnTo>
              <a:lnTo>
                <a:pt x="1152524" y="88709"/>
              </a:lnTo>
              <a:lnTo>
                <a:pt x="1152524" y="176021"/>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41B01B65-88F7-4158-BFC4-30E0EF0E5D42}">
      <dsp:nvSpPr>
        <dsp:cNvPr id="0" name=""/>
        <dsp:cNvSpPr/>
      </dsp:nvSpPr>
      <dsp:spPr>
        <a:xfrm>
          <a:off x="1047749" y="1627885"/>
          <a:ext cx="768350" cy="176022"/>
        </a:xfrm>
        <a:custGeom>
          <a:avLst/>
          <a:gdLst/>
          <a:ahLst/>
          <a:cxnLst/>
          <a:rect l="0" t="0" r="0" b="0"/>
          <a:pathLst>
            <a:path>
              <a:moveTo>
                <a:pt x="0" y="0"/>
              </a:moveTo>
              <a:lnTo>
                <a:pt x="0" y="88709"/>
              </a:lnTo>
              <a:lnTo>
                <a:pt x="768350" y="88709"/>
              </a:lnTo>
              <a:lnTo>
                <a:pt x="768350" y="17602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886C317-73EB-439B-AF8C-24AC2053367A}">
      <dsp:nvSpPr>
        <dsp:cNvPr id="0" name=""/>
        <dsp:cNvSpPr/>
      </dsp:nvSpPr>
      <dsp:spPr>
        <a:xfrm>
          <a:off x="279400" y="1627885"/>
          <a:ext cx="768349" cy="176022"/>
        </a:xfrm>
        <a:custGeom>
          <a:avLst/>
          <a:gdLst/>
          <a:ahLst/>
          <a:cxnLst/>
          <a:rect l="0" t="0" r="0" b="0"/>
          <a:pathLst>
            <a:path>
              <a:moveTo>
                <a:pt x="768349" y="0"/>
              </a:moveTo>
              <a:lnTo>
                <a:pt x="768349" y="88709"/>
              </a:lnTo>
              <a:lnTo>
                <a:pt x="0" y="88709"/>
              </a:lnTo>
              <a:lnTo>
                <a:pt x="0" y="17602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BD93774-5544-47E6-A145-4356ABA9BBD9}">
      <dsp:nvSpPr>
        <dsp:cNvPr id="0" name=""/>
        <dsp:cNvSpPr/>
      </dsp:nvSpPr>
      <dsp:spPr>
        <a:xfrm>
          <a:off x="1047749" y="893063"/>
          <a:ext cx="1152524" cy="176021"/>
        </a:xfrm>
        <a:custGeom>
          <a:avLst/>
          <a:gdLst/>
          <a:ahLst/>
          <a:cxnLst/>
          <a:rect l="0" t="0" r="0" b="0"/>
          <a:pathLst>
            <a:path>
              <a:moveTo>
                <a:pt x="1152524" y="0"/>
              </a:moveTo>
              <a:lnTo>
                <a:pt x="1152524" y="88709"/>
              </a:lnTo>
              <a:lnTo>
                <a:pt x="0" y="88709"/>
              </a:lnTo>
              <a:lnTo>
                <a:pt x="0" y="176021"/>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B8EC359-1DC9-40A7-BE23-29B312694D6D}">
      <dsp:nvSpPr>
        <dsp:cNvPr id="0" name=""/>
        <dsp:cNvSpPr/>
      </dsp:nvSpPr>
      <dsp:spPr>
        <a:xfrm>
          <a:off x="1920874" y="334263"/>
          <a:ext cx="558800" cy="558800"/>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9F781E3E-3DC2-4767-882E-70745A7F3EC5}">
      <dsp:nvSpPr>
        <dsp:cNvPr id="0" name=""/>
        <dsp:cNvSpPr/>
      </dsp:nvSpPr>
      <dsp:spPr>
        <a:xfrm>
          <a:off x="2479675" y="332866"/>
          <a:ext cx="838199" cy="558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87630" tIns="87630" rIns="87630" bIns="87630" numCol="1" spcCol="1270" anchor="ctr" anchorCtr="0">
          <a:noAutofit/>
        </a:bodyPr>
        <a:lstStyle/>
        <a:p>
          <a:pPr lvl="0" algn="l" defTabSz="1022350">
            <a:lnSpc>
              <a:spcPct val="90000"/>
            </a:lnSpc>
            <a:spcBef>
              <a:spcPct val="0"/>
            </a:spcBef>
            <a:spcAft>
              <a:spcPct val="35000"/>
            </a:spcAft>
          </a:pPr>
          <a:endParaRPr lang="en-US" sz="2300" kern="1200"/>
        </a:p>
      </dsp:txBody>
      <dsp:txXfrm>
        <a:off x="2479675" y="332866"/>
        <a:ext cx="838199" cy="558800"/>
      </dsp:txXfrm>
    </dsp:sp>
    <dsp:sp modelId="{BA7709C3-4A7D-4077-B8D4-23D52909BE2B}">
      <dsp:nvSpPr>
        <dsp:cNvPr id="0" name=""/>
        <dsp:cNvSpPr/>
      </dsp:nvSpPr>
      <dsp:spPr>
        <a:xfrm>
          <a:off x="768349" y="1069085"/>
          <a:ext cx="558800" cy="558800"/>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41289680-632B-42A4-BCE5-4C20A233DA89}">
      <dsp:nvSpPr>
        <dsp:cNvPr id="0" name=""/>
        <dsp:cNvSpPr/>
      </dsp:nvSpPr>
      <dsp:spPr>
        <a:xfrm>
          <a:off x="1327149" y="1067688"/>
          <a:ext cx="838199" cy="558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87630" tIns="87630" rIns="87630" bIns="87630" numCol="1" spcCol="1270" anchor="ctr" anchorCtr="0">
          <a:noAutofit/>
        </a:bodyPr>
        <a:lstStyle/>
        <a:p>
          <a:pPr lvl="0" algn="l" defTabSz="1022350">
            <a:lnSpc>
              <a:spcPct val="90000"/>
            </a:lnSpc>
            <a:spcBef>
              <a:spcPct val="0"/>
            </a:spcBef>
            <a:spcAft>
              <a:spcPct val="35000"/>
            </a:spcAft>
          </a:pPr>
          <a:endParaRPr lang="en-US" sz="2300" kern="1200"/>
        </a:p>
      </dsp:txBody>
      <dsp:txXfrm>
        <a:off x="1327149" y="1067688"/>
        <a:ext cx="838199" cy="558800"/>
      </dsp:txXfrm>
    </dsp:sp>
    <dsp:sp modelId="{D5E7A8B0-6A3A-4D79-A0D2-3741B750C434}">
      <dsp:nvSpPr>
        <dsp:cNvPr id="0" name=""/>
        <dsp:cNvSpPr/>
      </dsp:nvSpPr>
      <dsp:spPr>
        <a:xfrm>
          <a:off x="0" y="1803908"/>
          <a:ext cx="558800" cy="558800"/>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C7C737C7-06D8-49B6-8471-838B1324602B}">
      <dsp:nvSpPr>
        <dsp:cNvPr id="0" name=""/>
        <dsp:cNvSpPr/>
      </dsp:nvSpPr>
      <dsp:spPr>
        <a:xfrm>
          <a:off x="558800" y="1802510"/>
          <a:ext cx="838199" cy="558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87630" tIns="87630" rIns="87630" bIns="87630" numCol="1" spcCol="1270" anchor="ctr" anchorCtr="0">
          <a:noAutofit/>
        </a:bodyPr>
        <a:lstStyle/>
        <a:p>
          <a:pPr lvl="0" algn="l" defTabSz="1022350">
            <a:lnSpc>
              <a:spcPct val="90000"/>
            </a:lnSpc>
            <a:spcBef>
              <a:spcPct val="0"/>
            </a:spcBef>
            <a:spcAft>
              <a:spcPct val="35000"/>
            </a:spcAft>
          </a:pPr>
          <a:endParaRPr lang="en-US" sz="2300" kern="1200"/>
        </a:p>
      </dsp:txBody>
      <dsp:txXfrm>
        <a:off x="558800" y="1802510"/>
        <a:ext cx="838199" cy="558800"/>
      </dsp:txXfrm>
    </dsp:sp>
    <dsp:sp modelId="{B723AF5F-FDBC-4CAD-B15D-2D38F9A0770C}">
      <dsp:nvSpPr>
        <dsp:cNvPr id="0" name=""/>
        <dsp:cNvSpPr/>
      </dsp:nvSpPr>
      <dsp:spPr>
        <a:xfrm>
          <a:off x="1536700" y="1803908"/>
          <a:ext cx="558800" cy="558800"/>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6A8A9762-97A0-4179-96E8-58A267043AA7}">
      <dsp:nvSpPr>
        <dsp:cNvPr id="0" name=""/>
        <dsp:cNvSpPr/>
      </dsp:nvSpPr>
      <dsp:spPr>
        <a:xfrm>
          <a:off x="2095499" y="1802510"/>
          <a:ext cx="838199" cy="558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87630" tIns="87630" rIns="87630" bIns="87630" numCol="1" spcCol="1270" anchor="ctr" anchorCtr="0">
          <a:noAutofit/>
        </a:bodyPr>
        <a:lstStyle/>
        <a:p>
          <a:pPr lvl="0" algn="l" defTabSz="1022350">
            <a:lnSpc>
              <a:spcPct val="90000"/>
            </a:lnSpc>
            <a:spcBef>
              <a:spcPct val="0"/>
            </a:spcBef>
            <a:spcAft>
              <a:spcPct val="35000"/>
            </a:spcAft>
          </a:pPr>
          <a:endParaRPr lang="en-US" sz="2300" kern="1200"/>
        </a:p>
      </dsp:txBody>
      <dsp:txXfrm>
        <a:off x="2095499" y="1802510"/>
        <a:ext cx="838199" cy="558800"/>
      </dsp:txXfrm>
    </dsp:sp>
    <dsp:sp modelId="{0E01F25D-3137-42B4-8BD4-03972C203C14}">
      <dsp:nvSpPr>
        <dsp:cNvPr id="0" name=""/>
        <dsp:cNvSpPr/>
      </dsp:nvSpPr>
      <dsp:spPr>
        <a:xfrm>
          <a:off x="3073399" y="1069085"/>
          <a:ext cx="558800" cy="558800"/>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0060D829-33CC-4C76-8842-21284DEF264C}">
      <dsp:nvSpPr>
        <dsp:cNvPr id="0" name=""/>
        <dsp:cNvSpPr/>
      </dsp:nvSpPr>
      <dsp:spPr>
        <a:xfrm>
          <a:off x="3632200" y="1067688"/>
          <a:ext cx="838199" cy="558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87630" tIns="87630" rIns="87630" bIns="87630" numCol="1" spcCol="1270" anchor="ctr" anchorCtr="0">
          <a:noAutofit/>
        </a:bodyPr>
        <a:lstStyle/>
        <a:p>
          <a:pPr lvl="0" algn="l" defTabSz="1022350">
            <a:lnSpc>
              <a:spcPct val="90000"/>
            </a:lnSpc>
            <a:spcBef>
              <a:spcPct val="0"/>
            </a:spcBef>
            <a:spcAft>
              <a:spcPct val="35000"/>
            </a:spcAft>
          </a:pPr>
          <a:endParaRPr lang="en-US" sz="2300" kern="1200"/>
        </a:p>
      </dsp:txBody>
      <dsp:txXfrm>
        <a:off x="3632200" y="1067688"/>
        <a:ext cx="838199" cy="558800"/>
      </dsp:txXfrm>
    </dsp:sp>
    <dsp:sp modelId="{62585ED3-DD1F-468F-8727-16492DB18598}">
      <dsp:nvSpPr>
        <dsp:cNvPr id="0" name=""/>
        <dsp:cNvSpPr/>
      </dsp:nvSpPr>
      <dsp:spPr>
        <a:xfrm>
          <a:off x="3073399" y="1803908"/>
          <a:ext cx="558800" cy="558800"/>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sp>
    <dsp:sp modelId="{A04719F1-4AB0-48E7-B90A-7127CA78C5DA}">
      <dsp:nvSpPr>
        <dsp:cNvPr id="0" name=""/>
        <dsp:cNvSpPr/>
      </dsp:nvSpPr>
      <dsp:spPr>
        <a:xfrm>
          <a:off x="3632200" y="1802510"/>
          <a:ext cx="838199" cy="558800"/>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87630" tIns="87630" rIns="87630" bIns="87630" numCol="1" spcCol="1270" anchor="ctr" anchorCtr="0">
          <a:noAutofit/>
        </a:bodyPr>
        <a:lstStyle/>
        <a:p>
          <a:pPr lvl="0" algn="l" defTabSz="1022350">
            <a:lnSpc>
              <a:spcPct val="90000"/>
            </a:lnSpc>
            <a:spcBef>
              <a:spcPct val="0"/>
            </a:spcBef>
            <a:spcAft>
              <a:spcPct val="35000"/>
            </a:spcAft>
          </a:pPr>
          <a:endParaRPr lang="en-US" sz="2300" kern="1200"/>
        </a:p>
      </dsp:txBody>
      <dsp:txXfrm>
        <a:off x="3632200" y="1802510"/>
        <a:ext cx="838199" cy="558800"/>
      </dsp:txXfrm>
    </dsp:sp>
  </dsp:spTree>
</dsp:drawing>
</file>

<file path=xl/diagrams/layout1.xml><?xml version="1.0" encoding="utf-8"?>
<dgm:layoutDef xmlns:dgm="http://schemas.openxmlformats.org/drawingml/2006/diagram" xmlns:a="http://schemas.openxmlformats.org/drawingml/2006/main" uniqueId="urn:microsoft.com/office/officeart/2009/layout/CirclePictureHierarchy">
  <dgm:title val=""/>
  <dgm:desc val=""/>
  <dgm:catLst>
    <dgm:cat type="hierarchy" pri="1750"/>
    <dgm:cat type="picture" pri="23000"/>
    <dgm:cat type="pictureconvert" pri="23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Lst>
      <dgm:cxnLst>
        <dgm:cxn modelId="4" srcId="0" destId="1" srcOrd="0" destOrd="0"/>
        <dgm:cxn modelId="5" srcId="1" destId="2" srcOrd="0" destOrd="0"/>
        <dgm:cxn modelId="6" srcId="1" destId="3" srcOrd="1" destOrd="0"/>
        <dgm:cxn modelId="23" srcId="2" destId="21" srcOrd="0" destOrd="0"/>
        <dgm:cxn modelId="24" srcId="2" destId="22" srcOrd="1" destOrd="0"/>
        <dgm:cxn modelId="33" srcId="3" destId="31" srcOrd="0" destOrd="0"/>
      </dgm:cxnLst>
      <dgm:bg/>
      <dgm:whole/>
    </dgm:dataModel>
  </dgm:sampData>
  <dgm:styleData>
    <dgm:dataModel>
      <dgm:ptLst>
        <dgm:pt modelId="0" type="doc"/>
        <dgm:pt modelId="1"/>
        <dgm:pt modelId="11"/>
        <dgm:pt modelId="12"/>
      </dgm:ptLst>
      <dgm:cxnLst>
        <dgm:cxn modelId="2" srcId="0" destId="1" srcOrd="0" destOrd="0"/>
        <dgm:cxn modelId="13" srcId="1" destId="11" srcOrd="0" destOrd="0"/>
        <dgm:cxn modelId="14" srcId="1" destId="12" srcOrd="1" destOrd="0"/>
      </dgm:cxnLst>
      <dgm:bg/>
      <dgm:whole/>
    </dgm:dataModel>
  </dgm:styleData>
  <dgm:clrData>
    <dgm:dataModel>
      <dgm:ptLst>
        <dgm:pt modelId="0" type="doc"/>
        <dgm:pt modelId="1"/>
        <dgm:pt modelId="2"/>
        <dgm:pt modelId="21"/>
        <dgm:pt modelId="211"/>
        <dgm:pt modelId="3"/>
        <dgm:pt modelId="31"/>
        <dgm:pt modelId="311"/>
      </dgm:ptLst>
      <dgm:cxnLst>
        <dgm:cxn modelId="4" srcId="0" destId="1" srcOrd="0" destOrd="0"/>
        <dgm:cxn modelId="5" srcId="1" destId="2" srcOrd="0" destOrd="0"/>
        <dgm:cxn modelId="6" srcId="1" destId="3" srcOrd="1" destOrd="0"/>
        <dgm:cxn modelId="23" srcId="2" destId="21" srcOrd="0" destOrd="0"/>
        <dgm:cxn modelId="24" srcId="21" destId="211" srcOrd="0" destOrd="0"/>
        <dgm:cxn modelId="33" srcId="3" destId="31" srcOrd="0" destOrd="0"/>
        <dgm:cxn modelId="34" srcId="31" destId="311" srcOrd="0" destOrd="0"/>
      </dgm:cxnLst>
      <dgm:bg/>
      <dgm:whole/>
    </dgm:dataModel>
  </dgm:clrData>
  <dgm:layoutNode name="hierChild1">
    <dgm:varLst>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primFontSz" for="des" ptType="node" op="equ" val="65"/>
      <dgm:constr type="w" for="des" forName="composite" refType="w"/>
      <dgm:constr type="h" for="des" forName="composite" refType="w" refFor="des" refForName="composite" fact="0.5"/>
      <dgm:constr type="w" for="des" forName="composite2" refType="w" refFor="des" refForName="composite"/>
      <dgm:constr type="h" for="des" forName="composite2" refType="h" refFor="des" refForName="composite"/>
      <dgm:constr type="w" for="des" forName="composite3" refType="w" refFor="des" refForName="composite"/>
      <dgm:constr type="h" for="des" forName="composite3" refType="h" refFor="des" refForName="composite"/>
      <dgm:constr type="w" for="des" forName="composite4" refType="w" refFor="des" refForName="composite"/>
      <dgm:constr type="h" for="des" forName="composite4" refType="h" refFor="des" refForName="composite"/>
      <dgm:constr type="w" for="des" forName="composite5" refType="w" refFor="des" refForName="composite"/>
      <dgm:constr type="h" for="des" forName="composite5" refType="h" refFor="des" refForName="composite"/>
      <dgm:constr type="sibSp" refType="w" refFor="des" refForName="composite" fact="0.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p" for="des" forName="hierRoot1" refType="h" refFor="des" refForName="composite" fact="0.25"/>
      <dgm:constr type="sp" for="des" forName="hierRoot2" refType="sp" refFor="des" refForName="hierRoot1"/>
      <dgm:constr type="sp" for="des" forName="hierRoot3" refType="sp" refFor="des" refForName="hierRoot1"/>
      <dgm:constr type="sp" for="des" forName="hierRoot4" refType="sp" refFor="des" refForName="hierRoot1"/>
      <dgm:constr type="sp" for="des" forName="hierRoot5" refType="sp" refFor="des" refForName="hierRoot1"/>
    </dgm:constrLst>
    <dgm:ruleLst/>
    <dgm:forEach name="Name3" axis="ch">
      <dgm:forEach name="Name4" axis="self" ptType="node">
        <dgm:layoutNode name="hierRoot1">
          <dgm:alg type="hierRoot"/>
          <dgm:shape xmlns:r="http://schemas.openxmlformats.org/officeDocument/2006/relationships" r:blip="">
            <dgm:adjLst/>
          </dgm:shape>
          <dgm:presOf/>
          <dgm:constrLst>
            <dgm:constr type="bendDist" for="des" ptType="parTrans" refType="sp" fact="0.5"/>
          </dgm:constrLst>
          <dgm:ruleLst/>
          <dgm:layoutNode name="composite">
            <dgm:alg type="composite"/>
            <dgm:shape xmlns:r="http://schemas.openxmlformats.org/officeDocument/2006/relationships" r:blip="">
              <dgm:adjLst/>
            </dgm:shape>
            <dgm:presOf/>
            <dgm:constrLst>
              <dgm:constr type="h" for="ch" forName="image" refType="h" fact="0.8"/>
              <dgm:constr type="w" for="ch" forName="image" refType="h" refFor="ch" refForName="image"/>
              <dgm:constr type="t" for="ch" forName="image" refType="h" fact="0.1"/>
              <dgm:constr type="l" for="ch" forName="image"/>
              <dgm:constr type="w" for="ch" forName="text" refType="w" fact="0.6"/>
              <dgm:constr type="h" for="ch" forName="text" refType="h" fact="0.8"/>
              <dgm:constr type="t" for="ch" forName="text" refType="w" fact="0.04"/>
              <dgm:constr type="l" for="ch" forName="text" refType="w" fact="0.4"/>
            </dgm:constrLst>
            <dgm:ruleLst/>
            <dgm:layoutNode name="image" styleLbl="node0">
              <dgm:alg type="sp"/>
              <dgm:shape xmlns:r="http://schemas.openxmlformats.org/officeDocument/2006/relationships" type="ellipse" r:blip="" blipPhldr="1">
                <dgm:adjLst/>
              </dgm:shape>
              <dgm:presOf/>
              <dgm:constrLst/>
              <dgm:ruleLst/>
            </dgm:layoutNode>
            <dgm:layoutNode name="text" styleLbl="revTx">
              <dgm:varLst>
                <dgm:chPref val="3"/>
              </dgm:varLst>
              <dgm:alg type="tx">
                <dgm:param type="parTxLTRAlign" val="l"/>
                <dgm:param type="parTxRTLAlign" val="r"/>
              </dgm:alg>
              <dgm:shape xmlns:r="http://schemas.openxmlformats.org/officeDocument/2006/relationships" type="rect" r:blip="">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2">
            <dgm:choose name="Name5">
              <dgm:if name="Name6" func="var" arg="dir" op="equ" val="norm">
                <dgm:alg type="hierChild">
                  <dgm:param type="linDir" val="fromL"/>
                </dgm:alg>
              </dgm:if>
              <dgm:else name="Name7">
                <dgm:alg type="hierChild">
                  <dgm:param type="linDir" val="fromR"/>
                </dgm:alg>
              </dgm:else>
            </dgm:choose>
            <dgm:shape xmlns:r="http://schemas.openxmlformats.org/officeDocument/2006/relationships" r:blip="">
              <dgm:adjLst/>
            </dgm:shape>
            <dgm:presOf/>
            <dgm:constrLst/>
            <dgm:ruleLst/>
            <dgm:forEach name="Name8" axis="ch">
              <dgm:forEach name="Name9" axis="self" ptType="parTrans" cnt="1">
                <dgm:layoutNode name="Name10">
                  <dgm:alg type="conn">
                    <dgm:param type="dim" val="1D"/>
                    <dgm:param type="endSty" val="noArr"/>
                    <dgm:param type="connRout" val="bend"/>
                    <dgm:param type="bendPt" val="end"/>
                    <dgm:param type="begPts" val="bCtr"/>
                    <dgm:param type="endPts" val="tCtr"/>
                    <dgm:param type="srcNode" val="image"/>
                    <dgm:param type="dstNode" val="image2"/>
                  </dgm:alg>
                  <dgm:shape xmlns:r="http://schemas.openxmlformats.org/officeDocument/2006/relationships" type="conn" r:blip="" zOrderOff="-999">
                    <dgm:adjLst/>
                  </dgm:shape>
                  <dgm:presOf axis="self"/>
                  <dgm:constrLst>
                    <dgm:constr type="begPad"/>
                    <dgm:constr type="endPad"/>
                  </dgm:constrLst>
                  <dgm:ruleLst/>
                </dgm:layoutNode>
              </dgm:forEach>
              <dgm:forEach name="Name11" axis="self" ptType="node">
                <dgm:layoutNode name="hierRoot2">
                  <dgm:alg type="hierRoot"/>
                  <dgm:shape xmlns:r="http://schemas.openxmlformats.org/officeDocument/2006/relationships" r:blip="">
                    <dgm:adjLst/>
                  </dgm:shape>
                  <dgm:presOf/>
                  <dgm:constrLst>
                    <dgm:constr type="bendDist" for="des" ptType="parTrans" refType="sp" fact="0.5"/>
                  </dgm:constrLst>
                  <dgm:ruleLst/>
                  <dgm:layoutNode name="composite2">
                    <dgm:alg type="composite"/>
                    <dgm:shape xmlns:r="http://schemas.openxmlformats.org/officeDocument/2006/relationships" r:blip="">
                      <dgm:adjLst/>
                    </dgm:shape>
                    <dgm:presOf/>
                    <dgm:constrLst>
                      <dgm:constr type="h" for="ch" forName="image2" refType="h" fact="0.8"/>
                      <dgm:constr type="w" for="ch" forName="image2" refType="h" refFor="ch" refForName="image2"/>
                      <dgm:constr type="t" for="ch" forName="image2" refType="h" fact="0.1"/>
                      <dgm:constr type="l" for="ch" forName="image2"/>
                      <dgm:constr type="w" for="ch" forName="text2" refType="w" fact="0.6"/>
                      <dgm:constr type="h" for="ch" forName="text2" refType="h" fact="0.8"/>
                      <dgm:constr type="t" for="ch" forName="text2" refType="w" fact="0.04"/>
                      <dgm:constr type="l" for="ch" forName="text2" refType="w" fact="0.4"/>
                    </dgm:constrLst>
                    <dgm:ruleLst/>
                    <dgm:layoutNode name="image2">
                      <dgm:alg type="sp"/>
                      <dgm:shape xmlns:r="http://schemas.openxmlformats.org/officeDocument/2006/relationships" type="ellipse" r:blip="" blipPhldr="1">
                        <dgm:adjLst/>
                      </dgm:shape>
                      <dgm:presOf/>
                      <dgm:constrLst/>
                      <dgm:ruleLst/>
                    </dgm:layoutNode>
                    <dgm:layoutNode name="text2" styleLbl="revTx">
                      <dgm:varLst>
                        <dgm:chPref val="3"/>
                      </dgm:varLst>
                      <dgm:alg type="tx">
                        <dgm:param type="parTxLTRAlign" val="l"/>
                        <dgm:param type="parTxRTLAlign" val="r"/>
                      </dgm:alg>
                      <dgm:shape xmlns:r="http://schemas.openxmlformats.org/officeDocument/2006/relationships" type="rect" r:blip="">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3">
                    <dgm:choose name="Name12">
                      <dgm:if name="Name13" func="var" arg="dir" op="equ" val="norm">
                        <dgm:alg type="hierChild">
                          <dgm:param type="linDir" val="fromL"/>
                        </dgm:alg>
                      </dgm:if>
                      <dgm:else name="Name14">
                        <dgm:alg type="hierChild">
                          <dgm:param type="linDir" val="fromR"/>
                        </dgm:alg>
                      </dgm:else>
                    </dgm:choose>
                    <dgm:shape xmlns:r="http://schemas.openxmlformats.org/officeDocument/2006/relationships" r:blip="">
                      <dgm:adjLst/>
                    </dgm:shape>
                    <dgm:presOf/>
                    <dgm:constrLst/>
                    <dgm:ruleLst/>
                    <dgm:forEach name="Name15" axis="ch">
                      <dgm:forEach name="Name16" axis="self" ptType="parTrans" cnt="1">
                        <dgm:layoutNode name="Name17">
                          <dgm:alg type="conn">
                            <dgm:param type="dim" val="1D"/>
                            <dgm:param type="endSty" val="noArr"/>
                            <dgm:param type="connRout" val="bend"/>
                            <dgm:param type="bendPt" val="end"/>
                            <dgm:param type="begPts" val="bCtr"/>
                            <dgm:param type="endPts" val="tCtr"/>
                            <dgm:param type="srcNode" val="image2"/>
                            <dgm:param type="dstNode" val="image3"/>
                          </dgm:alg>
                          <dgm:shape xmlns:r="http://schemas.openxmlformats.org/officeDocument/2006/relationships" type="conn" r:blip="" zOrderOff="-999">
                            <dgm:adjLst/>
                          </dgm:shape>
                          <dgm:presOf axis="self"/>
                          <dgm:constrLst>
                            <dgm:constr type="begPad"/>
                            <dgm:constr type="endPad"/>
                          </dgm:constrLst>
                          <dgm:ruleLst/>
                        </dgm:layoutNode>
                      </dgm:forEach>
                      <dgm:forEach name="Name18" axis="self" ptType="node">
                        <dgm:layoutNode name="hierRoot3">
                          <dgm:alg type="hierRoot"/>
                          <dgm:shape xmlns:r="http://schemas.openxmlformats.org/officeDocument/2006/relationships" r:blip="">
                            <dgm:adjLst/>
                          </dgm:shape>
                          <dgm:presOf/>
                          <dgm:constrLst>
                            <dgm:constr type="bendDist" for="des" ptType="parTrans" refType="sp" fact="0.5"/>
                          </dgm:constrLst>
                          <dgm:ruleLst/>
                          <dgm:layoutNode name="composite3">
                            <dgm:alg type="composite"/>
                            <dgm:shape xmlns:r="http://schemas.openxmlformats.org/officeDocument/2006/relationships" r:blip="">
                              <dgm:adjLst/>
                            </dgm:shape>
                            <dgm:presOf/>
                            <dgm:constrLst>
                              <dgm:constr type="h" for="ch" forName="image3" refType="h" fact="0.8"/>
                              <dgm:constr type="w" for="ch" forName="image3" refType="h" refFor="ch" refForName="image3"/>
                              <dgm:constr type="t" for="ch" forName="image3" refType="h" fact="0.1"/>
                              <dgm:constr type="l" for="ch" forName="image3"/>
                              <dgm:constr type="w" for="ch" forName="text3" refType="w" fact="0.6"/>
                              <dgm:constr type="h" for="ch" forName="text3" refType="h" fact="0.8"/>
                              <dgm:constr type="t" for="ch" forName="text3" refType="w" fact="0.04"/>
                              <dgm:constr type="l" for="ch" forName="text3" refType="w" fact="0.4"/>
                            </dgm:constrLst>
                            <dgm:ruleLst/>
                            <dgm:layoutNode name="image3">
                              <dgm:alg type="sp"/>
                              <dgm:shape xmlns:r="http://schemas.openxmlformats.org/officeDocument/2006/relationships" type="ellipse" r:blip="" blipPhldr="1">
                                <dgm:adjLst/>
                              </dgm:shape>
                              <dgm:presOf/>
                              <dgm:constrLst/>
                              <dgm:ruleLst/>
                            </dgm:layoutNode>
                            <dgm:layoutNode name="text3" styleLbl="revTx">
                              <dgm:varLst>
                                <dgm:chPref val="3"/>
                              </dgm:varLst>
                              <dgm:alg type="tx">
                                <dgm:param type="parTxLTRAlign" val="l"/>
                                <dgm:param type="parTxRTLAlign" val="r"/>
                              </dgm:alg>
                              <dgm:shape xmlns:r="http://schemas.openxmlformats.org/officeDocument/2006/relationships" type="rect" r:blip="">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4">
                            <dgm:choose name="Name19">
                              <dgm:if name="Name20" func="var" arg="dir" op="equ" val="norm">
                                <dgm:alg type="hierChild">
                                  <dgm:param type="linDir" val="fromL"/>
                                </dgm:alg>
                              </dgm:if>
                              <dgm:else name="Name21">
                                <dgm:alg type="hierChild">
                                  <dgm:param type="linDir" val="fromR"/>
                                </dgm:alg>
                              </dgm:else>
                            </dgm:choose>
                            <dgm:shape xmlns:r="http://schemas.openxmlformats.org/officeDocument/2006/relationships" r:blip="">
                              <dgm:adjLst/>
                            </dgm:shape>
                            <dgm:presOf/>
                            <dgm:constrLst/>
                            <dgm:ruleLst/>
                            <dgm:forEach name="repeat" axis="ch">
                              <dgm:forEach name="Name22" axis="self" ptType="parTrans" cnt="1">
                                <dgm:layoutNode name="Name23">
                                  <dgm:choose name="Name24">
                                    <dgm:if name="Name25" axis="self" func="depth" op="lte" val="4">
                                      <dgm:alg type="conn">
                                        <dgm:param type="dim" val="1D"/>
                                        <dgm:param type="endSty" val="noArr"/>
                                        <dgm:param type="connRout" val="bend"/>
                                        <dgm:param type="bendPt" val="end"/>
                                        <dgm:param type="begPts" val="bCtr"/>
                                        <dgm:param type="endPts" val="tCtr"/>
                                        <dgm:param type="srcNode" val="image3"/>
                                        <dgm:param type="dstNode" val="image4"/>
                                      </dgm:alg>
                                    </dgm:if>
                                    <dgm:else name="Name26">
                                      <dgm:alg type="conn">
                                        <dgm:param type="dim" val="1D"/>
                                        <dgm:param type="endSty" val="noArr"/>
                                        <dgm:param type="connRout" val="bend"/>
                                        <dgm:param type="bendPt" val="end"/>
                                        <dgm:param type="begPts" val="bCtr"/>
                                        <dgm:param type="endPts" val="tCtr"/>
                                        <dgm:param type="srcNode" val="image4"/>
                                        <dgm:param type="dstNode" val="image4"/>
                                      </dgm:alg>
                                    </dgm:else>
                                  </dgm:choose>
                                  <dgm:shape xmlns:r="http://schemas.openxmlformats.org/officeDocument/2006/relationships" type="conn" r:blip="" zOrderOff="-999">
                                    <dgm:adjLst/>
                                  </dgm:shape>
                                  <dgm:presOf axis="self"/>
                                  <dgm:constrLst>
                                    <dgm:constr type="begPad"/>
                                    <dgm:constr type="endPad"/>
                                  </dgm:constrLst>
                                  <dgm:ruleLst/>
                                </dgm:layoutNode>
                              </dgm:forEach>
                              <dgm:forEach name="Name27" axis="self" ptType="node">
                                <dgm:layoutNode name="hierRoot4">
                                  <dgm:alg type="hierRoot"/>
                                  <dgm:shape xmlns:r="http://schemas.openxmlformats.org/officeDocument/2006/relationships" r:blip="">
                                    <dgm:adjLst/>
                                  </dgm:shape>
                                  <dgm:presOf/>
                                  <dgm:constrLst>
                                    <dgm:constr type="bendDist" for="des" ptType="parTrans" refType="sp" fact="0.5"/>
                                  </dgm:constrLst>
                                  <dgm:ruleLst/>
                                  <dgm:layoutNode name="composite4">
                                    <dgm:alg type="composite"/>
                                    <dgm:shape xmlns:r="http://schemas.openxmlformats.org/officeDocument/2006/relationships" r:blip="">
                                      <dgm:adjLst/>
                                    </dgm:shape>
                                    <dgm:presOf/>
                                    <dgm:constrLst>
                                      <dgm:constr type="h" for="ch" forName="image4" refType="h" fact="0.8"/>
                                      <dgm:constr type="w" for="ch" forName="image4" refType="h" refFor="ch" refForName="image4"/>
                                      <dgm:constr type="t" for="ch" forName="image4" refType="h" fact="0.1"/>
                                      <dgm:constr type="l" for="ch" forName="image4"/>
                                      <dgm:constr type="w" for="ch" forName="text4" refType="w" fact="0.6"/>
                                      <dgm:constr type="h" for="ch" forName="text4" refType="h" fact="0.8"/>
                                      <dgm:constr type="t" for="ch" forName="text4" refType="w" fact="0.04"/>
                                      <dgm:constr type="l" for="ch" forName="text4" refType="w" fact="0.4"/>
                                    </dgm:constrLst>
                                    <dgm:ruleLst/>
                                    <dgm:layoutNode name="image4">
                                      <dgm:alg type="sp"/>
                                      <dgm:shape xmlns:r="http://schemas.openxmlformats.org/officeDocument/2006/relationships" type="ellipse" r:blip="" blipPhldr="1">
                                        <dgm:adjLst/>
                                      </dgm:shape>
                                      <dgm:presOf/>
                                      <dgm:constrLst/>
                                      <dgm:ruleLst/>
                                    </dgm:layoutNode>
                                    <dgm:layoutNode name="text4" styleLbl="revTx">
                                      <dgm:varLst>
                                        <dgm:chPref val="3"/>
                                      </dgm:varLst>
                                      <dgm:alg type="tx">
                                        <dgm:param type="parTxLTRAlign" val="l"/>
                                        <dgm:param type="parTxRTLAlign" val="r"/>
                                      </dgm:alg>
                                      <dgm:shape xmlns:r="http://schemas.openxmlformats.org/officeDocument/2006/relationships" type="rect" r:blip="">
                                        <dgm:adjLst/>
                                      </dgm:shape>
                                      <dgm:presOf axis="self"/>
                                      <dgm:constrLst>
                                        <dgm:constr type="tMarg" refType="primFontSz" fact="0.3"/>
                                        <dgm:constr type="bMarg" refType="primFontSz" fact="0.3"/>
                                        <dgm:constr type="lMarg" refType="primFontSz" fact="0.3"/>
                                        <dgm:constr type="rMarg" refType="primFontSz" fact="0.3"/>
                                      </dgm:constrLst>
                                      <dgm:ruleLst>
                                        <dgm:rule type="primFontSz" val="5" fact="NaN" max="NaN"/>
                                      </dgm:ruleLst>
                                    </dgm:layoutNode>
                                  </dgm:layoutNode>
                                  <dgm:layoutNode name="hierChild5">
                                    <dgm:choose name="Name28">
                                      <dgm:if name="Name29" func="var" arg="dir" op="equ" val="norm">
                                        <dgm:alg type="hierChild">
                                          <dgm:param type="linDir" val="fromL"/>
                                        </dgm:alg>
                                      </dgm:if>
                                      <dgm:else name="Name30">
                                        <dgm:alg type="hierChild">
                                          <dgm:param type="linDir" val="fromR"/>
                                        </dgm:alg>
                                      </dgm:else>
                                    </dgm:choose>
                                    <dgm:shape xmlns:r="http://schemas.openxmlformats.org/officeDocument/2006/relationships" r:blip="">
                                      <dgm:adjLst/>
                                    </dgm:shape>
                                    <dgm:presOf/>
                                    <dgm:constrLst/>
                                    <dgm:ruleLst/>
                                    <dgm:forEach name="Name31" ref="repeat"/>
                                  </dgm:layoutNode>
                                </dgm:layoutNode>
                              </dgm:forEach>
                            </dgm:forEach>
                          </dgm:layoutNode>
                        </dgm:layoutNode>
                      </dgm:forEach>
                    </dgm:forEach>
                  </dgm:layoutNode>
                </dgm:layoutNode>
              </dgm:forEach>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gif"/><Relationship Id="rId1" Type="http://schemas.openxmlformats.org/officeDocument/2006/relationships/image" Target="../media/image4.jp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xdr:from>
      <xdr:col>0</xdr:col>
      <xdr:colOff>48491</xdr:colOff>
      <xdr:row>0</xdr:row>
      <xdr:rowOff>51954</xdr:rowOff>
    </xdr:from>
    <xdr:to>
      <xdr:col>30</xdr:col>
      <xdr:colOff>418516</xdr:colOff>
      <xdr:row>59</xdr:row>
      <xdr:rowOff>81643</xdr:rowOff>
    </xdr:to>
    <xdr:grpSp>
      <xdr:nvGrpSpPr>
        <xdr:cNvPr id="2" name="Group 1"/>
        <xdr:cNvGrpSpPr/>
      </xdr:nvGrpSpPr>
      <xdr:grpSpPr>
        <a:xfrm>
          <a:off x="48491" y="51954"/>
          <a:ext cx="18943775" cy="9864252"/>
          <a:chOff x="48491" y="51954"/>
          <a:chExt cx="16372025" cy="10144486"/>
        </a:xfrm>
      </xdr:grpSpPr>
      <xdr:grpSp>
        <xdr:nvGrpSpPr>
          <xdr:cNvPr id="3" name="Group 2"/>
          <xdr:cNvGrpSpPr/>
        </xdr:nvGrpSpPr>
        <xdr:grpSpPr>
          <a:xfrm>
            <a:off x="48491" y="51954"/>
            <a:ext cx="16372025" cy="10144486"/>
            <a:chOff x="0" y="370644"/>
            <a:chExt cx="17134608" cy="9783930"/>
          </a:xfrm>
        </xdr:grpSpPr>
        <xdr:grpSp>
          <xdr:nvGrpSpPr>
            <xdr:cNvPr id="5" name="Group 4"/>
            <xdr:cNvGrpSpPr/>
          </xdr:nvGrpSpPr>
          <xdr:grpSpPr>
            <a:xfrm>
              <a:off x="0" y="370644"/>
              <a:ext cx="17116598" cy="9783930"/>
              <a:chOff x="0" y="370644"/>
              <a:chExt cx="17116598" cy="9783930"/>
            </a:xfrm>
          </xdr:grpSpPr>
          <xdr:sp macro="" textlink="">
            <xdr:nvSpPr>
              <xdr:cNvPr id="7" name="Rectangle 6">
                <a:extLst>
                  <a:ext uri="{FF2B5EF4-FFF2-40B4-BE49-F238E27FC236}">
                    <a16:creationId xmlns:a16="http://schemas.microsoft.com/office/drawing/2014/main" id="{00000000-0008-0000-2000-000002000000}"/>
                  </a:ext>
                </a:extLst>
              </xdr:cNvPr>
              <xdr:cNvSpPr/>
            </xdr:nvSpPr>
            <xdr:spPr>
              <a:xfrm>
                <a:off x="0" y="370644"/>
                <a:ext cx="17116598" cy="9783930"/>
              </a:xfrm>
              <a:prstGeom prst="rect">
                <a:avLst/>
              </a:prstGeom>
              <a:solidFill>
                <a:srgbClr val="0098DB"/>
              </a:solidFill>
              <a:ln>
                <a:noFill/>
              </a:ln>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n-US"/>
              </a:p>
            </xdr:txBody>
          </xdr:sp>
          <xdr:pic>
            <xdr:nvPicPr>
              <xdr:cNvPr id="8" name="Picture 7" descr="esa.png">
                <a:extLst>
                  <a:ext uri="{FF2B5EF4-FFF2-40B4-BE49-F238E27FC236}">
                    <a16:creationId xmlns:a16="http://schemas.microsoft.com/office/drawing/2014/main" id="{00000000-0008-0000-2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09762" y="940359"/>
                <a:ext cx="3349469" cy="1238617"/>
              </a:xfrm>
              <a:prstGeom prst="rect">
                <a:avLst/>
              </a:prstGeom>
            </xdr:spPr>
          </xdr:pic>
          <xdr:grpSp>
            <xdr:nvGrpSpPr>
              <xdr:cNvPr id="9" name="Group 8"/>
              <xdr:cNvGrpSpPr>
                <a:grpSpLocks noChangeAspect="1"/>
              </xdr:cNvGrpSpPr>
            </xdr:nvGrpSpPr>
            <xdr:grpSpPr>
              <a:xfrm>
                <a:off x="1200726" y="802517"/>
                <a:ext cx="2937929" cy="1524000"/>
                <a:chOff x="9020175" y="9034207"/>
                <a:chExt cx="1526176" cy="972344"/>
              </a:xfrm>
            </xdr:grpSpPr>
            <xdr:sp macro="" textlink="">
              <xdr:nvSpPr>
                <xdr:cNvPr id="11" name="Rectangle 10"/>
                <xdr:cNvSpPr/>
              </xdr:nvSpPr>
              <xdr:spPr>
                <a:xfrm>
                  <a:off x="9020175" y="9034207"/>
                  <a:ext cx="1495424" cy="97234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pic>
              <xdr:nvPicPr>
                <xdr:cNvPr id="12" name="Picture 11" descr="CDF Logo.png"/>
                <xdr:cNvPicPr>
                  <a:picLocks noChangeAspect="1"/>
                </xdr:cNvPicPr>
              </xdr:nvPicPr>
              <xdr:blipFill>
                <a:blip xmlns:r="http://schemas.openxmlformats.org/officeDocument/2006/relationships" r:embed="rId2" cstate="print"/>
                <a:stretch>
                  <a:fillRect/>
                </a:stretch>
              </xdr:blipFill>
              <xdr:spPr>
                <a:xfrm>
                  <a:off x="9097001" y="9081833"/>
                  <a:ext cx="1449350" cy="890649"/>
                </a:xfrm>
                <a:prstGeom prst="rect">
                  <a:avLst/>
                </a:prstGeom>
              </xdr:spPr>
            </xdr:pic>
          </xdr:grpSp>
          <xdr:pic>
            <xdr:nvPicPr>
              <xdr:cNvPr id="10" name="Picture 9"/>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805686" y="8685579"/>
                <a:ext cx="2368019" cy="1062812"/>
              </a:xfrm>
              <a:prstGeom prst="rect">
                <a:avLst/>
              </a:prstGeom>
            </xdr:spPr>
          </xdr:pic>
        </xdr:grpSp>
        <xdr:sp macro="" textlink="">
          <xdr:nvSpPr>
            <xdr:cNvPr id="6" name="TextBox 7">
              <a:extLst>
                <a:ext uri="{FF2B5EF4-FFF2-40B4-BE49-F238E27FC236}">
                  <a16:creationId xmlns:a16="http://schemas.microsoft.com/office/drawing/2014/main" id="{00000000-0008-0000-2000-000006000000}"/>
                </a:ext>
              </a:extLst>
            </xdr:cNvPr>
            <xdr:cNvSpPr txBox="1"/>
          </xdr:nvSpPr>
          <xdr:spPr>
            <a:xfrm>
              <a:off x="18010" y="1392624"/>
              <a:ext cx="17116598" cy="7439392"/>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en-GB" sz="6600" b="1">
                  <a:solidFill>
                    <a:schemeClr val="bg1"/>
                  </a:solidFill>
                </a:rPr>
                <a:t>ESA Academy's</a:t>
              </a:r>
              <a:br>
                <a:rPr lang="en-GB" sz="6600" b="1">
                  <a:solidFill>
                    <a:schemeClr val="bg1"/>
                  </a:solidFill>
                </a:rPr>
              </a:br>
              <a:r>
                <a:rPr lang="en-GB" sz="6600" b="1">
                  <a:solidFill>
                    <a:schemeClr val="bg1"/>
                  </a:solidFill>
                </a:rPr>
                <a:t>Concurrent Engineering Workshop</a:t>
              </a:r>
            </a:p>
            <a:p>
              <a:pPr algn="ctr"/>
              <a:r>
                <a:rPr lang="en-GB" sz="4800" b="1">
                  <a:solidFill>
                    <a:schemeClr val="bg1"/>
                  </a:solidFill>
                </a:rPr>
                <a:t>Calculation Sheet: Mechanisms</a:t>
              </a:r>
            </a:p>
            <a:p>
              <a:pPr algn="ctr"/>
              <a:endParaRPr lang="en-GB" sz="4800" b="1">
                <a:solidFill>
                  <a:schemeClr val="bg1"/>
                </a:solidFill>
              </a:endParaRPr>
            </a:p>
            <a:p>
              <a:pPr algn="ctr"/>
              <a:r>
                <a:rPr lang="en-GB" sz="3600" b="1">
                  <a:solidFill>
                    <a:schemeClr val="bg1"/>
                  </a:solidFill>
                </a:rPr>
                <a:t>"The ISU/ESA calculation sheets are property of the International Space University (ISU) and European Space Agency (ESA). No part of this material may be reproduced, displayed, amended, distributed or otherwise used in any form or by any means, without written permission of ISU and ESA. Any unauthorised activity or use shall be an infringement of ISU's and ESA's intellectual property rights. ISU and ESA reserve the right to defend their rights and interests, including to seek for remedies."  </a:t>
              </a:r>
            </a:p>
            <a:p>
              <a:pPr algn="ctr"/>
              <a:endParaRPr lang="en-GB" sz="3600" b="1">
                <a:solidFill>
                  <a:schemeClr val="bg1"/>
                </a:solidFill>
              </a:endParaRPr>
            </a:p>
          </xdr:txBody>
        </xdr:sp>
      </xdr:grpSp>
      <xdr:sp macro="" textlink="">
        <xdr:nvSpPr>
          <xdr:cNvPr id="4" name="TextBox 7">
            <a:extLst>
              <a:ext uri="{FF2B5EF4-FFF2-40B4-BE49-F238E27FC236}">
                <a16:creationId xmlns:a16="http://schemas.microsoft.com/office/drawing/2014/main" id="{00000000-0008-0000-2000-000006000000}"/>
              </a:ext>
            </a:extLst>
          </xdr:cNvPr>
          <xdr:cNvSpPr txBox="1"/>
        </xdr:nvSpPr>
        <xdr:spPr>
          <a:xfrm>
            <a:off x="971549" y="8696331"/>
            <a:ext cx="12420601" cy="1047750"/>
          </a:xfrm>
          <a:prstGeom prst="rect">
            <a:avLst/>
          </a:prstGeom>
          <a:noFill/>
        </xdr:spPr>
        <xdr:txBody>
          <a:bodyPr wrap="square" rtlCol="0">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a:r>
              <a:rPr lang="en-GB" sz="3000" b="1">
                <a:solidFill>
                  <a:schemeClr val="bg1"/>
                </a:solidFill>
              </a:rPr>
              <a:t>The</a:t>
            </a:r>
            <a:r>
              <a:rPr lang="en-GB" sz="3000" b="1" baseline="0">
                <a:solidFill>
                  <a:schemeClr val="bg1"/>
                </a:solidFill>
              </a:rPr>
              <a:t> current version of this calculation sheet was improved in collaboration with the Politecnico di Torino.</a:t>
            </a:r>
            <a:endParaRPr lang="en-GB" sz="3000" b="1">
              <a:solidFill>
                <a:schemeClr val="bg1"/>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50800</xdr:rowOff>
    </xdr:from>
    <xdr:to>
      <xdr:col>27</xdr:col>
      <xdr:colOff>457200</xdr:colOff>
      <xdr:row>3</xdr:row>
      <xdr:rowOff>127000</xdr:rowOff>
    </xdr:to>
    <xdr:grpSp>
      <xdr:nvGrpSpPr>
        <xdr:cNvPr id="2" name="Group 1">
          <a:extLst>
            <a:ext uri="{FF2B5EF4-FFF2-40B4-BE49-F238E27FC236}">
              <a16:creationId xmlns:a16="http://schemas.microsoft.com/office/drawing/2014/main" id="{00000000-0008-0000-0200-000002000000}"/>
            </a:ext>
          </a:extLst>
        </xdr:cNvPr>
        <xdr:cNvGrpSpPr>
          <a:grpSpLocks/>
        </xdr:cNvGrpSpPr>
      </xdr:nvGrpSpPr>
      <xdr:grpSpPr bwMode="auto">
        <a:xfrm>
          <a:off x="0" y="50800"/>
          <a:ext cx="16255093" cy="566057"/>
          <a:chOff x="9524" y="0"/>
          <a:chExt cx="14117503" cy="485600"/>
        </a:xfrm>
      </xdr:grpSpPr>
      <xdr:sp macro="" textlink="">
        <xdr:nvSpPr>
          <xdr:cNvPr id="3" name="Rectangle 2">
            <a:extLst>
              <a:ext uri="{FF2B5EF4-FFF2-40B4-BE49-F238E27FC236}">
                <a16:creationId xmlns:a16="http://schemas.microsoft.com/office/drawing/2014/main" id="{00000000-0008-0000-0200-000003000000}"/>
              </a:ext>
            </a:extLst>
          </xdr:cNvPr>
          <xdr:cNvSpPr/>
        </xdr:nvSpPr>
        <xdr:spPr>
          <a:xfrm>
            <a:off x="9524" y="0"/>
            <a:ext cx="14087475" cy="485600"/>
          </a:xfrm>
          <a:prstGeom prst="rect">
            <a:avLst/>
          </a:prstGeom>
        </xdr:spPr>
        <xdr:style>
          <a:lnRef idx="0">
            <a:schemeClr val="lt1">
              <a:hueOff val="0"/>
              <a:satOff val="0"/>
              <a:lumOff val="0"/>
              <a:alphaOff val="0"/>
            </a:schemeClr>
          </a:lnRef>
          <a:fillRef idx="3">
            <a:schemeClr val="accent1">
              <a:alpha val="90000"/>
              <a:hueOff val="0"/>
              <a:satOff val="0"/>
              <a:lumOff val="0"/>
              <a:alphaOff val="0"/>
            </a:schemeClr>
          </a:fillRef>
          <a:effectRef idx="2">
            <a:schemeClr val="accent1">
              <a:alpha val="90000"/>
              <a:hueOff val="0"/>
              <a:satOff val="0"/>
              <a:lumOff val="0"/>
              <a:alphaOff val="0"/>
            </a:schemeClr>
          </a:effectRef>
          <a:fontRef idx="minor">
            <a:schemeClr val="lt1"/>
          </a:fontRef>
        </xdr:style>
        <xdr:txBody>
          <a:bodyPr/>
          <a:lstStyle/>
          <a:p>
            <a:endParaRPr lang="fr-FR" sz="900"/>
          </a:p>
        </xdr:txBody>
      </xdr:sp>
      <xdr:sp macro="" textlink="">
        <xdr:nvSpPr>
          <xdr:cNvPr id="4" name="Rectangle 3">
            <a:extLst>
              <a:ext uri="{FF2B5EF4-FFF2-40B4-BE49-F238E27FC236}">
                <a16:creationId xmlns:a16="http://schemas.microsoft.com/office/drawing/2014/main" id="{00000000-0008-0000-0200-000004000000}"/>
              </a:ext>
            </a:extLst>
          </xdr:cNvPr>
          <xdr:cNvSpPr/>
        </xdr:nvSpPr>
        <xdr:spPr>
          <a:xfrm>
            <a:off x="39552" y="0"/>
            <a:ext cx="14087475" cy="485600"/>
          </a:xfrm>
          <a:prstGeom prst="rect">
            <a:avLst/>
          </a:prstGeom>
        </xdr:spPr>
        <xdr:style>
          <a:lnRef idx="0">
            <a:scrgbClr r="0" g="0" b="0"/>
          </a:lnRef>
          <a:fillRef idx="0">
            <a:scrgbClr r="0" g="0" b="0"/>
          </a:fillRef>
          <a:effectRef idx="0">
            <a:scrgbClr r="0" g="0" b="0"/>
          </a:effectRef>
          <a:fontRef idx="minor">
            <a:schemeClr val="lt1"/>
          </a:fontRef>
        </xdr:style>
        <xdr:txBody>
          <a:bodyPr spcFirstLastPara="0" vert="horz" wrap="square" lIns="83820" tIns="83820" rIns="83820" bIns="83820" numCol="1" spcCol="1270" anchor="ctr" anchorCtr="0">
            <a:noAutofit/>
          </a:bodyPr>
          <a:lstStyle/>
          <a:p>
            <a:pPr lvl="0" algn="ctr" defTabSz="977900">
              <a:lnSpc>
                <a:spcPct val="90000"/>
              </a:lnSpc>
              <a:spcBef>
                <a:spcPct val="0"/>
              </a:spcBef>
              <a:spcAft>
                <a:spcPct val="35000"/>
              </a:spcAft>
            </a:pPr>
            <a:r>
              <a:rPr lang="en-US" sz="2800" kern="1200">
                <a:latin typeface="+mn-lt"/>
                <a:cs typeface="Times New Roman" pitchFamily="18" charset="0"/>
              </a:rPr>
              <a:t>Mechanisms </a:t>
            </a:r>
            <a:r>
              <a:rPr lang="en-US" sz="3200" kern="1200" baseline="0">
                <a:latin typeface="+mn-lt"/>
                <a:cs typeface="Times New Roman" pitchFamily="18" charset="0"/>
              </a:rPr>
              <a:t>- Objectives</a:t>
            </a:r>
            <a:endParaRPr lang="en-US" sz="3200" kern="1200">
              <a:latin typeface="+mn-lt"/>
              <a:cs typeface="Times New Roman" pitchFamily="18" charset="0"/>
            </a:endParaRPr>
          </a:p>
        </xdr:txBody>
      </xdr:sp>
    </xdr:grpSp>
    <xdr:clientData/>
  </xdr:twoCellAnchor>
  <xdr:twoCellAnchor>
    <xdr:from>
      <xdr:col>1</xdr:col>
      <xdr:colOff>272142</xdr:colOff>
      <xdr:row>4</xdr:row>
      <xdr:rowOff>108857</xdr:rowOff>
    </xdr:from>
    <xdr:to>
      <xdr:col>27</xdr:col>
      <xdr:colOff>362858</xdr:colOff>
      <xdr:row>36</xdr:row>
      <xdr:rowOff>99785</xdr:rowOff>
    </xdr:to>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830942" y="769257"/>
          <a:ext cx="14619516" cy="5274128"/>
        </a:xfrm>
        <a:prstGeom prst="rect">
          <a:avLst/>
        </a:prstGeom>
        <a:solidFill>
          <a:schemeClr val="accent5">
            <a:lumMod val="20000"/>
            <a:lumOff val="80000"/>
          </a:schemeClr>
        </a:solidFill>
        <a:ln>
          <a:solidFill>
            <a:schemeClr val="accent5"/>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algn="ctr"/>
          <a:r>
            <a:rPr lang="en-GB" sz="4800"/>
            <a:t>Objectives:</a:t>
          </a:r>
        </a:p>
        <a:p>
          <a:pPr algn="l"/>
          <a:r>
            <a:rPr lang="en-GB" sz="3200">
              <a:sym typeface="Wingdings 3" panose="05040102010807070707" pitchFamily="18" charset="2"/>
            </a:rPr>
            <a:t> To size motors</a:t>
          </a:r>
          <a:r>
            <a:rPr lang="en-GB" sz="3200" baseline="0">
              <a:sym typeface="Wingdings 3" panose="05040102010807070707" pitchFamily="18" charset="2"/>
            </a:rPr>
            <a:t> to enable mechanisms functionalites</a:t>
          </a:r>
          <a:endParaRPr lang="en-GB" sz="3200" baseline="0">
            <a:solidFill>
              <a:schemeClr val="dk1"/>
            </a:solidFill>
            <a:effectLst/>
            <a:latin typeface="+mn-lt"/>
            <a:ea typeface="+mn-ea"/>
            <a:cs typeface="+mn-cs"/>
            <a:sym typeface="Wingdings 3" panose="05040102010807070707" pitchFamily="18" charset="2"/>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228600</xdr:colOff>
      <xdr:row>3</xdr:row>
      <xdr:rowOff>0</xdr:rowOff>
    </xdr:from>
    <xdr:to>
      <xdr:col>13</xdr:col>
      <xdr:colOff>139184</xdr:colOff>
      <xdr:row>15</xdr:row>
      <xdr:rowOff>91168</xdr:rowOff>
    </xdr:to>
    <xdr:pic>
      <xdr:nvPicPr>
        <xdr:cNvPr id="2" name="Immagin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181725" y="0"/>
          <a:ext cx="2958584" cy="2390775"/>
        </a:xfrm>
        <a:prstGeom prst="rect">
          <a:avLst/>
        </a:prstGeom>
      </xdr:spPr>
    </xdr:pic>
    <xdr:clientData/>
  </xdr:twoCellAnchor>
  <xdr:twoCellAnchor editAs="oneCell">
    <xdr:from>
      <xdr:col>8</xdr:col>
      <xdr:colOff>219075</xdr:colOff>
      <xdr:row>16</xdr:row>
      <xdr:rowOff>114300</xdr:rowOff>
    </xdr:from>
    <xdr:to>
      <xdr:col>14</xdr:col>
      <xdr:colOff>506095</xdr:colOff>
      <xdr:row>29</xdr:row>
      <xdr:rowOff>96611</xdr:rowOff>
    </xdr:to>
    <xdr:pic>
      <xdr:nvPicPr>
        <xdr:cNvPr id="4" name="Immagine 3">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172200" y="2400300"/>
          <a:ext cx="3944620" cy="2463800"/>
        </a:xfrm>
        <a:prstGeom prst="rect">
          <a:avLst/>
        </a:prstGeom>
      </xdr:spPr>
    </xdr:pic>
    <xdr:clientData/>
  </xdr:twoCellAnchor>
  <xdr:twoCellAnchor>
    <xdr:from>
      <xdr:col>0</xdr:col>
      <xdr:colOff>0</xdr:colOff>
      <xdr:row>0</xdr:row>
      <xdr:rowOff>0</xdr:rowOff>
    </xdr:from>
    <xdr:to>
      <xdr:col>13</xdr:col>
      <xdr:colOff>308428</xdr:colOff>
      <xdr:row>2</xdr:row>
      <xdr:rowOff>54429</xdr:rowOff>
    </xdr:to>
    <xdr:grpSp>
      <xdr:nvGrpSpPr>
        <xdr:cNvPr id="5" name="Group 4">
          <a:extLst>
            <a:ext uri="{FF2B5EF4-FFF2-40B4-BE49-F238E27FC236}">
              <a16:creationId xmlns:a16="http://schemas.microsoft.com/office/drawing/2014/main" id="{69135DCB-32E1-4C42-B63E-E12A32A2AC6A}"/>
            </a:ext>
          </a:extLst>
        </xdr:cNvPr>
        <xdr:cNvGrpSpPr/>
      </xdr:nvGrpSpPr>
      <xdr:grpSpPr>
        <a:xfrm>
          <a:off x="0" y="0"/>
          <a:ext cx="9343571" cy="435429"/>
          <a:chOff x="9524" y="0"/>
          <a:chExt cx="14087475" cy="485600"/>
        </a:xfrm>
      </xdr:grpSpPr>
      <xdr:sp macro="" textlink="">
        <xdr:nvSpPr>
          <xdr:cNvPr id="6" name="Rectangle 5">
            <a:extLst>
              <a:ext uri="{FF2B5EF4-FFF2-40B4-BE49-F238E27FC236}">
                <a16:creationId xmlns:a16="http://schemas.microsoft.com/office/drawing/2014/main" id="{78811A15-83C0-4C28-998E-26280724C41F}"/>
              </a:ext>
            </a:extLst>
          </xdr:cNvPr>
          <xdr:cNvSpPr/>
        </xdr:nvSpPr>
        <xdr:spPr>
          <a:xfrm>
            <a:off x="9524" y="0"/>
            <a:ext cx="14087475" cy="485600"/>
          </a:xfrm>
          <a:prstGeom prst="rect">
            <a:avLst/>
          </a:prstGeom>
        </xdr:spPr>
        <xdr:style>
          <a:lnRef idx="0">
            <a:schemeClr val="lt1">
              <a:hueOff val="0"/>
              <a:satOff val="0"/>
              <a:lumOff val="0"/>
              <a:alphaOff val="0"/>
            </a:schemeClr>
          </a:lnRef>
          <a:fillRef idx="3">
            <a:schemeClr val="accent1">
              <a:alpha val="90000"/>
              <a:hueOff val="0"/>
              <a:satOff val="0"/>
              <a:lumOff val="0"/>
              <a:alphaOff val="0"/>
            </a:schemeClr>
          </a:fillRef>
          <a:effectRef idx="2">
            <a:schemeClr val="accent1">
              <a:alpha val="90000"/>
              <a:hueOff val="0"/>
              <a:satOff val="0"/>
              <a:lumOff val="0"/>
              <a:alphaOff val="0"/>
            </a:schemeClr>
          </a:effectRef>
          <a:fontRef idx="minor">
            <a:schemeClr val="lt1"/>
          </a:fontRef>
        </xdr:style>
      </xdr:sp>
      <xdr:sp macro="" textlink="">
        <xdr:nvSpPr>
          <xdr:cNvPr id="7" name="Rectangle 6">
            <a:extLst>
              <a:ext uri="{FF2B5EF4-FFF2-40B4-BE49-F238E27FC236}">
                <a16:creationId xmlns:a16="http://schemas.microsoft.com/office/drawing/2014/main" id="{4877E3FB-261B-4850-B72E-B5FBD5169369}"/>
              </a:ext>
            </a:extLst>
          </xdr:cNvPr>
          <xdr:cNvSpPr/>
        </xdr:nvSpPr>
        <xdr:spPr>
          <a:xfrm>
            <a:off x="9524" y="0"/>
            <a:ext cx="14087475" cy="485600"/>
          </a:xfrm>
          <a:prstGeom prst="rect">
            <a:avLst/>
          </a:prstGeom>
        </xdr:spPr>
        <xdr:style>
          <a:lnRef idx="0">
            <a:scrgbClr r="0" g="0" b="0"/>
          </a:lnRef>
          <a:fillRef idx="0">
            <a:scrgbClr r="0" g="0" b="0"/>
          </a:fillRef>
          <a:effectRef idx="0">
            <a:scrgbClr r="0" g="0" b="0"/>
          </a:effectRef>
          <a:fontRef idx="minor">
            <a:schemeClr val="lt1"/>
          </a:fontRef>
        </xdr:style>
        <xdr:txBody>
          <a:bodyPr spcFirstLastPara="0" vert="horz" wrap="square" lIns="83820" tIns="83820" rIns="83820" bIns="83820" numCol="1" spcCol="1270" anchor="ctr" anchorCtr="0">
            <a:noAutofit/>
          </a:bodyPr>
          <a:lstStyle/>
          <a:p>
            <a:pPr lvl="0" algn="ctr" defTabSz="977900">
              <a:lnSpc>
                <a:spcPct val="90000"/>
              </a:lnSpc>
              <a:spcBef>
                <a:spcPct val="0"/>
              </a:spcBef>
              <a:spcAft>
                <a:spcPct val="35000"/>
              </a:spcAft>
            </a:pPr>
            <a:r>
              <a:rPr lang="en-US" sz="2200" kern="1200"/>
              <a:t>Mechanisms</a:t>
            </a:r>
            <a:r>
              <a:rPr lang="en-US" sz="2200" kern="1200" baseline="0"/>
              <a:t> - Motor sizing</a:t>
            </a:r>
            <a:endParaRPr lang="en-US" sz="2200" kern="12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18</xdr:col>
      <xdr:colOff>293687</xdr:colOff>
      <xdr:row>28</xdr:row>
      <xdr:rowOff>176214</xdr:rowOff>
    </xdr:from>
    <xdr:to>
      <xdr:col>27</xdr:col>
      <xdr:colOff>380999</xdr:colOff>
      <xdr:row>43</xdr:row>
      <xdr:rowOff>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107950</xdr:colOff>
      <xdr:row>4</xdr:row>
      <xdr:rowOff>114300</xdr:rowOff>
    </xdr:from>
    <xdr:to>
      <xdr:col>5</xdr:col>
      <xdr:colOff>247650</xdr:colOff>
      <xdr:row>6</xdr:row>
      <xdr:rowOff>6350</xdr:rowOff>
    </xdr:to>
    <xdr:sp macro="" textlink="">
      <xdr:nvSpPr>
        <xdr:cNvPr id="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0</xdr:col>
      <xdr:colOff>0</xdr:colOff>
      <xdr:row>0</xdr:row>
      <xdr:rowOff>44450</xdr:rowOff>
    </xdr:from>
    <xdr:to>
      <xdr:col>7</xdr:col>
      <xdr:colOff>609600</xdr:colOff>
      <xdr:row>2</xdr:row>
      <xdr:rowOff>133350</xdr:rowOff>
    </xdr:to>
    <xdr:grpSp>
      <xdr:nvGrpSpPr>
        <xdr:cNvPr id="42" name="Group 41">
          <a:extLst>
            <a:ext uri="{FF2B5EF4-FFF2-40B4-BE49-F238E27FC236}">
              <a16:creationId xmlns:a16="http://schemas.microsoft.com/office/drawing/2014/main" id="{00000000-0008-0000-0500-00002A000000}"/>
            </a:ext>
          </a:extLst>
        </xdr:cNvPr>
        <xdr:cNvGrpSpPr>
          <a:grpSpLocks/>
        </xdr:cNvGrpSpPr>
      </xdr:nvGrpSpPr>
      <xdr:grpSpPr bwMode="auto">
        <a:xfrm>
          <a:off x="0" y="44450"/>
          <a:ext cx="6353175" cy="450850"/>
          <a:chOff x="9524" y="0"/>
          <a:chExt cx="14087475" cy="485600"/>
        </a:xfrm>
      </xdr:grpSpPr>
      <xdr:sp macro="" textlink="">
        <xdr:nvSpPr>
          <xdr:cNvPr id="43" name="Rectangle 42">
            <a:extLst>
              <a:ext uri="{FF2B5EF4-FFF2-40B4-BE49-F238E27FC236}">
                <a16:creationId xmlns:a16="http://schemas.microsoft.com/office/drawing/2014/main" id="{00000000-0008-0000-0500-00002B000000}"/>
              </a:ext>
            </a:extLst>
          </xdr:cNvPr>
          <xdr:cNvSpPr/>
        </xdr:nvSpPr>
        <xdr:spPr>
          <a:xfrm>
            <a:off x="9524" y="0"/>
            <a:ext cx="14087475" cy="485600"/>
          </a:xfrm>
          <a:prstGeom prst="rect">
            <a:avLst/>
          </a:prstGeom>
        </xdr:spPr>
        <xdr:style>
          <a:lnRef idx="0">
            <a:schemeClr val="lt1">
              <a:hueOff val="0"/>
              <a:satOff val="0"/>
              <a:lumOff val="0"/>
              <a:alphaOff val="0"/>
            </a:schemeClr>
          </a:lnRef>
          <a:fillRef idx="3">
            <a:schemeClr val="accent1">
              <a:alpha val="90000"/>
              <a:hueOff val="0"/>
              <a:satOff val="0"/>
              <a:lumOff val="0"/>
              <a:alphaOff val="0"/>
            </a:schemeClr>
          </a:fillRef>
          <a:effectRef idx="2">
            <a:schemeClr val="accent1">
              <a:alpha val="90000"/>
              <a:hueOff val="0"/>
              <a:satOff val="0"/>
              <a:lumOff val="0"/>
              <a:alphaOff val="0"/>
            </a:schemeClr>
          </a:effectRef>
          <a:fontRef idx="minor">
            <a:schemeClr val="lt1"/>
          </a:fontRef>
        </xdr:style>
        <xdr:txBody>
          <a:bodyPr/>
          <a:lstStyle/>
          <a:p>
            <a:endParaRPr lang="fr-FR" sz="700"/>
          </a:p>
        </xdr:txBody>
      </xdr:sp>
      <xdr:sp macro="" textlink="">
        <xdr:nvSpPr>
          <xdr:cNvPr id="44" name="Rectangle 43">
            <a:extLst>
              <a:ext uri="{FF2B5EF4-FFF2-40B4-BE49-F238E27FC236}">
                <a16:creationId xmlns:a16="http://schemas.microsoft.com/office/drawing/2014/main" id="{00000000-0008-0000-0500-00002C000000}"/>
              </a:ext>
            </a:extLst>
          </xdr:cNvPr>
          <xdr:cNvSpPr/>
        </xdr:nvSpPr>
        <xdr:spPr>
          <a:xfrm>
            <a:off x="9524" y="0"/>
            <a:ext cx="14087475" cy="474437"/>
          </a:xfrm>
          <a:prstGeom prst="rect">
            <a:avLst/>
          </a:prstGeom>
        </xdr:spPr>
        <xdr:style>
          <a:lnRef idx="0">
            <a:scrgbClr r="0" g="0" b="0"/>
          </a:lnRef>
          <a:fillRef idx="0">
            <a:scrgbClr r="0" g="0" b="0"/>
          </a:fillRef>
          <a:effectRef idx="0">
            <a:scrgbClr r="0" g="0" b="0"/>
          </a:effectRef>
          <a:fontRef idx="minor">
            <a:schemeClr val="lt1"/>
          </a:fontRef>
        </xdr:style>
        <xdr:txBody>
          <a:bodyPr spcFirstLastPara="0" vert="horz" wrap="square" lIns="83820" tIns="83820" rIns="83820" bIns="83820" numCol="1" spcCol="1270" anchor="ctr" anchorCtr="0">
            <a:noAutofit/>
          </a:bodyPr>
          <a:lstStyle/>
          <a:p>
            <a:pPr lvl="0" algn="ctr" defTabSz="977900">
              <a:lnSpc>
                <a:spcPct val="90000"/>
              </a:lnSpc>
              <a:spcBef>
                <a:spcPct val="0"/>
              </a:spcBef>
              <a:spcAft>
                <a:spcPct val="35000"/>
              </a:spcAft>
            </a:pPr>
            <a:r>
              <a:rPr lang="en-US" sz="2800" kern="1200">
                <a:latin typeface="+mn-lt"/>
                <a:cs typeface="Times New Roman" pitchFamily="18" charset="0"/>
              </a:rPr>
              <a:t>Mechanisms</a:t>
            </a:r>
            <a:r>
              <a:rPr lang="en-US" sz="3200" kern="1200">
                <a:latin typeface="+mn-lt"/>
                <a:cs typeface="Times New Roman" pitchFamily="18" charset="0"/>
              </a:rPr>
              <a:t> </a:t>
            </a:r>
            <a:r>
              <a:rPr lang="en-US" sz="2000" kern="1200">
                <a:latin typeface="+mn-lt"/>
                <a:cs typeface="Times New Roman" pitchFamily="18" charset="0"/>
              </a:rPr>
              <a:t>Product Tree</a:t>
            </a:r>
          </a:p>
        </xdr:txBody>
      </xdr:sp>
    </xdr:grpSp>
    <xdr:clientData/>
  </xdr:twoCellAnchor>
  <xdr:twoCellAnchor>
    <xdr:from>
      <xdr:col>3</xdr:col>
      <xdr:colOff>107950</xdr:colOff>
      <xdr:row>4</xdr:row>
      <xdr:rowOff>114300</xdr:rowOff>
    </xdr:from>
    <xdr:to>
      <xdr:col>5</xdr:col>
      <xdr:colOff>247650</xdr:colOff>
      <xdr:row>6</xdr:row>
      <xdr:rowOff>6350</xdr:rowOff>
    </xdr:to>
    <xdr:sp macro="" textlink="">
      <xdr:nvSpPr>
        <xdr:cNvPr id="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7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8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9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0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7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8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19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0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7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7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8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8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29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B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29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B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0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C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C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D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D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7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E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E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8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8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39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39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0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0F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0F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0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0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1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7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2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2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8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8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49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49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0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3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0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3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4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4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5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5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6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7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6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8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59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59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0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0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1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7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7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1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2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2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3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8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3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8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4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4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6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5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6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7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8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9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A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B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C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D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E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7F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0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1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2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3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4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8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5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6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7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8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9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A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B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C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D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E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9F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0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1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2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3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5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4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A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B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5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D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E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CF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0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1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2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3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4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5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6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7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8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9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A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B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C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D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0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1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2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3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4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5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6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7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8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9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A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B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C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D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E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EF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0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1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2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3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4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5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6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7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8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4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9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5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A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5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B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5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C19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D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E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FF19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0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1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2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5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3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4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5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6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7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8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9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A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B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C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6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D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E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0F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0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1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2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3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4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5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6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7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7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8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9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A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B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C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D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E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1F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0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8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1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9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2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9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3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69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4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5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6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7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8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9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A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69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B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C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D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E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2F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0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1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2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3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0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4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0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5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6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7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8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9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A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B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C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D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E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1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3F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2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0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2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1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2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2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2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3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4</xdr:row>
      <xdr:rowOff>114300</xdr:rowOff>
    </xdr:from>
    <xdr:to>
      <xdr:col>5</xdr:col>
      <xdr:colOff>247650</xdr:colOff>
      <xdr:row>6</xdr:row>
      <xdr:rowOff>6350</xdr:rowOff>
    </xdr:to>
    <xdr:sp macro="" textlink="">
      <xdr:nvSpPr>
        <xdr:cNvPr id="672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41A0000}"/>
            </a:ext>
          </a:extLst>
        </xdr:cNvPr>
        <xdr:cNvSpPr/>
      </xdr:nvSpPr>
      <xdr:spPr bwMode="auto">
        <a:xfrm>
          <a:off x="3695700" y="85090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2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5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2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6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2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7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2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8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2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9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A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1"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B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2"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C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3"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D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4"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E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5"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4F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6"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0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7"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1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8"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2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39"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3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3</xdr:col>
      <xdr:colOff>107950</xdr:colOff>
      <xdr:row>11</xdr:row>
      <xdr:rowOff>114300</xdr:rowOff>
    </xdr:from>
    <xdr:to>
      <xdr:col>5</xdr:col>
      <xdr:colOff>247650</xdr:colOff>
      <xdr:row>13</xdr:row>
      <xdr:rowOff>6350</xdr:rowOff>
    </xdr:to>
    <xdr:sp macro="" textlink="">
      <xdr:nvSpPr>
        <xdr:cNvPr id="6740" name="Button 1451" hidden="1">
          <a:extLst>
            <a:ext uri="{63B3BB69-23CF-44E3-9099-C40C66FF867C}">
              <a14:compatExt xmlns:a14="http://schemas.microsoft.com/office/drawing/2010/main" spid="_x0000_s39339"/>
            </a:ext>
            <a:ext uri="{FF2B5EF4-FFF2-40B4-BE49-F238E27FC236}">
              <a16:creationId xmlns:a16="http://schemas.microsoft.com/office/drawing/2014/main" id="{00000000-0008-0000-0500-0000541A0000}"/>
            </a:ext>
          </a:extLst>
        </xdr:cNvPr>
        <xdr:cNvSpPr/>
      </xdr:nvSpPr>
      <xdr:spPr bwMode="auto">
        <a:xfrm>
          <a:off x="3695700" y="2139950"/>
          <a:ext cx="1257300" cy="260350"/>
        </a:xfrm>
        <a:prstGeom prst="rect">
          <a:avLst/>
        </a:prstGeom>
        <a:noFill/>
        <a:ln w="9525">
          <a:miter lim="800000"/>
          <a:headEnd/>
          <a:tailEnd/>
        </a:ln>
      </xdr:spPr>
      <xdr:txBody>
        <a:bodyPr vertOverflow="clip" wrap="square" lIns="36576" tIns="22860" rIns="36576" bIns="22860" anchor="ctr" upright="1"/>
        <a:lstStyle/>
        <a:p>
          <a:pPr algn="ctr" rtl="0">
            <a:defRPr sz="1000"/>
          </a:pPr>
          <a:r>
            <a:rPr lang="en-GB" sz="800" b="0" i="0" u="none" strike="noStrike" baseline="0">
              <a:solidFill>
                <a:srgbClr val="000000"/>
              </a:solidFill>
              <a:latin typeface="Georgia"/>
            </a:rPr>
            <a:t>Generate Tree from OCDT Input</a:t>
          </a:r>
        </a:p>
      </xdr:txBody>
    </xdr:sp>
    <xdr:clientData fPrintsWithSheet="0"/>
  </xdr:twoCellAnchor>
  <xdr:twoCellAnchor>
    <xdr:from>
      <xdr:col>0</xdr:col>
      <xdr:colOff>692150</xdr:colOff>
      <xdr:row>4</xdr:row>
      <xdr:rowOff>139700</xdr:rowOff>
    </xdr:from>
    <xdr:to>
      <xdr:col>6</xdr:col>
      <xdr:colOff>0</xdr:colOff>
      <xdr:row>19</xdr:row>
      <xdr:rowOff>120650</xdr:rowOff>
    </xdr:to>
    <xdr:graphicFrame macro="">
      <xdr:nvGraphicFramePr>
        <xdr:cNvPr id="6741" name="Diagram 6740">
          <a:extLst>
            <a:ext uri="{FF2B5EF4-FFF2-40B4-BE49-F238E27FC236}">
              <a16:creationId xmlns:a16="http://schemas.microsoft.com/office/drawing/2014/main" id="{00000000-0008-0000-0500-0000551A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oris%20Franchi/Desktop/Ideas%20for%20worksheets%20integrations/Marcos/Product%20Tree/AutoTree%20GenerationOCDTin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Loris%20Franchi/Desktop/ADP/Temp/Calculation%20Sheets/Updated/ESA-ISU_Mission_v1.9.1.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Loris%20Franchi/Desktop/ADP/Temp/Calculation%20Sheets/Updated/ESA-ISU_Mission_v1.8.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loris/Desktop/CDF%20Polito%20Final/Calculation%20Sheets/ESA-ISU_Thermal_v2.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Loris%20Franchi/Desktop/ADP%20final/Calculation%20Sheets/WithMacros/ESA-ISU_Thermal_v1.9(With%20TradeOff%20and%20Product%20Tree).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Deliverables_Loris\Calculation%20Sheets\Polito-ESA-ISU_Thermal_v2.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ESA-ISU_CalculationSheet_Thermal.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Users/loris/Google%20Drive/Polito%20Remember/CDF%20+%20MONET/CDF%20Polito%20Final/Calculation%20Sheets/Polito-ESA-ISU_Mission_v2.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Users/Teacher/Desktop/Calculation%20sheets/Old/ESA-ISU_CalculationSheet_Therm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oris%20Franchi/Desktop/Deliverables/Calculation%20Sheets/ESA-ISU_Payload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oris%20Franchi/Desktop/ADP/Temp/Calculation%20Sheets/Updated/ESA-ISU_Payload_v1.5.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oris%20Franchi/Desktop/Ideas%20for%20worksheets%20integrations/Calculation%20sheets_ToBeReviewd/Thermal%20And%20Structure/Subsyste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oris/Desktop/CDF%20Polito%20Final/Calculation%20Sheets/ESA-ISU_ADCS_v2.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oris%20Franchi/Desktop/ADP/Temp/Calculation%20Sheets/Updated/ESA-ISU_ADCS_v1.9.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X:\Deliverables_Loris\Calculation%20Sheets\Polito-ESA-ISU_Mission_v2.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loris/Desktop/CDF%20Polito%20Final/Calculation%20Sheets/DHS_V1.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Loris%20Franchi/Desktop/ADP/Temp/Calculation%20Sheets/Updated/WithTradeOff/Structure_V1.9%20(With%20TradeOff%20And%20Product%20Tre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CORDE_Info"/>
      <sheetName val="Parameters"/>
      <sheetName val="States"/>
      <sheetName val="Option_default"/>
      <sheetName val="Option_TempOpt"/>
      <sheetName val="Summary_default"/>
      <sheetName val="Summary_TempOpt"/>
      <sheetName val="TempData"/>
      <sheetName val="Data"/>
      <sheetName val="ProductTreeMain"/>
      <sheetName val="Product Tree_Example_Results"/>
      <sheetName val="Db"/>
      <sheetName val="Product Tree Manual"/>
      <sheetName val="AutoTree GenerationOCDTint"/>
    </sheetNames>
    <sheetDataSet>
      <sheetData sheetId="0"/>
      <sheetData sheetId="1">
        <row r="2">
          <cell r="I2">
            <v>1001000</v>
          </cell>
        </row>
        <row r="4">
          <cell r="I4">
            <v>2</v>
          </cell>
        </row>
        <row r="5">
          <cell r="I5">
            <v>3</v>
          </cell>
        </row>
        <row r="6">
          <cell r="I6" t="str">
            <v>-</v>
          </cell>
        </row>
        <row r="8">
          <cell r="I8" t="str">
            <v>-</v>
          </cell>
        </row>
        <row r="9">
          <cell r="I9" t="str">
            <v>-</v>
          </cell>
        </row>
        <row r="10">
          <cell r="I10" t="str">
            <v>-</v>
          </cell>
        </row>
        <row r="12">
          <cell r="I12" t="str">
            <v>-</v>
          </cell>
        </row>
        <row r="13">
          <cell r="I13" t="str">
            <v>-</v>
          </cell>
        </row>
        <row r="14">
          <cell r="I14" t="str">
            <v>-</v>
          </cell>
        </row>
        <row r="16">
          <cell r="I16" t="str">
            <v>-</v>
          </cell>
        </row>
        <row r="17">
          <cell r="I17" t="str">
            <v>-</v>
          </cell>
        </row>
        <row r="18">
          <cell r="I18" t="str">
            <v>-</v>
          </cell>
        </row>
        <row r="20">
          <cell r="I20" t="str">
            <v>-</v>
          </cell>
        </row>
        <row r="21">
          <cell r="I21" t="str">
            <v>-</v>
          </cell>
        </row>
        <row r="22">
          <cell r="I22" t="str">
            <v>-</v>
          </cell>
        </row>
        <row r="24">
          <cell r="I24" t="str">
            <v>-</v>
          </cell>
        </row>
        <row r="25">
          <cell r="I25" t="str">
            <v>-</v>
          </cell>
        </row>
        <row r="26">
          <cell r="I26" t="str">
            <v>0,2</v>
          </cell>
        </row>
        <row r="28">
          <cell r="I28" t="str">
            <v>-</v>
          </cell>
        </row>
        <row r="29">
          <cell r="I29" t="str">
            <v>-</v>
          </cell>
        </row>
        <row r="30">
          <cell r="I30">
            <v>3</v>
          </cell>
        </row>
        <row r="32">
          <cell r="I32" t="str">
            <v>-</v>
          </cell>
        </row>
        <row r="33">
          <cell r="I33" t="str">
            <v>-</v>
          </cell>
        </row>
        <row r="34">
          <cell r="I34" t="str">
            <v>-</v>
          </cell>
        </row>
        <row r="36">
          <cell r="I36" t="str">
            <v>-</v>
          </cell>
        </row>
        <row r="37">
          <cell r="I37" t="str">
            <v>-</v>
          </cell>
        </row>
      </sheetData>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Mission Timeline"/>
      <sheetName val="Orbits - Dynamics"/>
      <sheetName val="Orbits - Geometry"/>
      <sheetName val="Planet Coverage Vs Latitude"/>
      <sheetName val="Interplanetary - Launch Windows"/>
      <sheetName val="Interplanetary Missions"/>
      <sheetName val="Interplanetary -Transfer "/>
      <sheetName val="Interplanetary - Fly-Bys"/>
      <sheetName val="Orbits - Maneuvers"/>
      <sheetName val="Orbit - Constellation"/>
      <sheetName val="Orbits - Budgets"/>
      <sheetName val="Launch Vehicle Information I"/>
      <sheetName val="Launch Vehicle Information II"/>
      <sheetName val="Launch Sites Information"/>
      <sheetName val="Transfer Vehicle Information"/>
      <sheetName val="EO- Missions"/>
      <sheetName val="Constants"/>
      <sheetName val="M(H,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7">
          <cell r="B7">
            <v>132700000000</v>
          </cell>
        </row>
        <row r="11">
          <cell r="B11">
            <v>6378.1369999999997</v>
          </cell>
        </row>
        <row r="12">
          <cell r="B12">
            <v>398600.44179999997</v>
          </cell>
        </row>
        <row r="40">
          <cell r="B40">
            <v>57.2958</v>
          </cell>
        </row>
      </sheetData>
      <sheetData sheetId="2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Description"/>
      <sheetName val="Orbits - Dynamics"/>
      <sheetName val="Orbits - Geometry"/>
      <sheetName val="Planet Coverage Vs Latitude"/>
      <sheetName val="Interplanetary - Launch Windows"/>
      <sheetName val="Interplanetary Missions"/>
      <sheetName val="Interplanetary -Transfer "/>
      <sheetName val="Orbits - Maneuvers"/>
      <sheetName val="Orbits - Budgets"/>
      <sheetName val="Launch Vehicle Information I"/>
      <sheetName val="Launch Vehicle Information II"/>
      <sheetName val="Launch Sites Information"/>
      <sheetName val="Transfer Vehicle Information"/>
      <sheetName val="EO- Missions"/>
      <sheetName val="Constants"/>
      <sheetName val="M(H,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7">
          <cell r="B7">
            <v>132700000000</v>
          </cell>
        </row>
        <row r="9">
          <cell r="B9">
            <v>149600016.456</v>
          </cell>
        </row>
      </sheetData>
      <sheetData sheetId="1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ConCORDE_Info"/>
      <sheetName val="Parameters"/>
      <sheetName val="States"/>
      <sheetName val="Option_default"/>
      <sheetName val="Summary_default"/>
      <sheetName val="Thermal- Thermal Budget OCDT"/>
      <sheetName val="Thermal Budget and summary "/>
      <sheetName val="Thermal Control - Spherical"/>
      <sheetName val="MLI Design"/>
      <sheetName val="Thermal Control - Solar Array"/>
      <sheetName val="Modes"/>
      <sheetName val="Trade_off"/>
      <sheetName val="ProductTreeMain"/>
      <sheetName val="Constants"/>
    </sheetNames>
    <sheetDataSet>
      <sheetData sheetId="0"/>
      <sheetData sheetId="1"/>
      <sheetData sheetId="2"/>
      <sheetData sheetId="3"/>
      <sheetData sheetId="4">
        <row r="2">
          <cell r="I2" t="str">
            <v>-</v>
          </cell>
        </row>
        <row r="3">
          <cell r="I3" t="e">
            <v>#NAME?</v>
          </cell>
        </row>
        <row r="4">
          <cell r="I4" t="e">
            <v>#NAME?</v>
          </cell>
        </row>
        <row r="5">
          <cell r="I5">
            <v>0.47</v>
          </cell>
        </row>
      </sheetData>
      <sheetData sheetId="5"/>
      <sheetData sheetId="6"/>
      <sheetData sheetId="7"/>
      <sheetData sheetId="8"/>
      <sheetData sheetId="9"/>
      <sheetData sheetId="10"/>
      <sheetData sheetId="11"/>
      <sheetData sheetId="12"/>
      <sheetData sheetId="13"/>
      <sheetData sheetId="14">
        <row r="30">
          <cell r="C30" t="str">
            <v>Option 1</v>
          </cell>
        </row>
      </sheetData>
      <sheetData sheetId="15"/>
      <sheetData sheetId="16">
        <row r="4">
          <cell r="B4">
            <v>5.6705100000000003E-8</v>
          </cell>
        </row>
        <row r="32">
          <cell r="B32">
            <v>7.2999999999999995E-2</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nge Log "/>
      <sheetName val="Workbook Description"/>
      <sheetName val="Thermal Control - Spherical"/>
      <sheetName val="MLI Design"/>
      <sheetName val="Thermal Control - Solar Array"/>
      <sheetName val="Modes"/>
      <sheetName val="MainTrade"/>
      <sheetName val="ProductTreeMain"/>
      <sheetName val="Constants"/>
      <sheetName val="Temp"/>
      <sheetName val="Db"/>
    </sheetNames>
    <sheetDataSet>
      <sheetData sheetId="0"/>
      <sheetData sheetId="1"/>
      <sheetData sheetId="2"/>
      <sheetData sheetId="3"/>
      <sheetData sheetId="4"/>
      <sheetData sheetId="5"/>
      <sheetData sheetId="6"/>
      <sheetData sheetId="7"/>
      <sheetData sheetId="8"/>
      <sheetData sheetId="9">
        <row r="4">
          <cell r="B4">
            <v>5.6705100000000003E-8</v>
          </cell>
        </row>
        <row r="18">
          <cell r="B18">
            <v>6378.1369999999997</v>
          </cell>
        </row>
        <row r="19">
          <cell r="B19">
            <v>398600.44179999997</v>
          </cell>
        </row>
      </sheetData>
      <sheetData sheetId="10"/>
      <sheetData sheetId="1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Objectives"/>
      <sheetName val="Thermal- Thermal Budget OCDT"/>
      <sheetName val="Thermal Budget and summary "/>
      <sheetName val="Thermal Control - Spherical"/>
      <sheetName val="MLI Design"/>
      <sheetName val="Thermal Control - Solar Array"/>
      <sheetName val="Modes"/>
      <sheetName val="Trade_off"/>
      <sheetName val="ProductTreeMain"/>
      <sheetName val="Constants"/>
    </sheetNames>
    <sheetDataSet>
      <sheetData sheetId="0"/>
      <sheetData sheetId="1"/>
      <sheetData sheetId="2"/>
      <sheetData sheetId="3"/>
      <sheetData sheetId="4"/>
      <sheetData sheetId="5"/>
      <sheetData sheetId="6">
        <row r="13">
          <cell r="I13" t="str">
            <v>Moon</v>
          </cell>
        </row>
      </sheetData>
      <sheetData sheetId="7"/>
      <sheetData sheetId="8"/>
      <sheetData sheetId="9"/>
      <sheetData sheetId="10"/>
      <sheetData sheetId="11"/>
      <sheetData sheetId="12">
        <row r="18">
          <cell r="B18">
            <v>1737</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Description"/>
      <sheetName val="Cover"/>
      <sheetName val="Change Log"/>
      <sheetName val="Objectives"/>
      <sheetName val="Thermal- Thermal Budget OCDT"/>
      <sheetName val="Thermal Budget and summary "/>
      <sheetName val="Thermal Control - Spherical"/>
      <sheetName val="MLI Design"/>
      <sheetName val="Thermal Control - Solar Array"/>
      <sheetName val="Modes"/>
      <sheetName val="Trade_off"/>
      <sheetName val="ProductTreeMain"/>
      <sheetName val="Consta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Objectives"/>
      <sheetName val="Mission Timeline"/>
      <sheetName val="Orbits - Dynamics"/>
      <sheetName val="Orbits - Geometry"/>
      <sheetName val="Planet Coverage Vs Latitude"/>
      <sheetName val="Interplanetary - Launch Windows"/>
      <sheetName val="Interplanetary Missions"/>
      <sheetName val="Interplanetary -Transfer "/>
      <sheetName val="Interplanetary - Fly-Bys"/>
      <sheetName val="Orbits - Maneuvers"/>
      <sheetName val="Orbit - Constellation"/>
      <sheetName val="Orbits - Budgets"/>
      <sheetName val="Launch Vehicle Information I"/>
      <sheetName val="Launch Vehicle Information II"/>
      <sheetName val="Launch Sites Information"/>
      <sheetName val="Transfer Vehicle Information"/>
      <sheetName val="EO- Missions"/>
      <sheetName val="ProductTreeMain"/>
      <sheetName val="Trade_off"/>
      <sheetName val="Constants"/>
      <sheetName val="M(H,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7">
          <cell r="B7">
            <v>132700000000</v>
          </cell>
        </row>
        <row r="9">
          <cell r="B9">
            <v>149600016.456</v>
          </cell>
        </row>
      </sheetData>
      <sheetData sheetId="2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Thermal- Thermal Budget OCDT"/>
      <sheetName val="Thermal Budget and summary "/>
      <sheetName val="Thermal Control - Spherical"/>
      <sheetName val="MLI Design"/>
      <sheetName val="Thermal Control - Solar Array"/>
      <sheetName val="Modes"/>
      <sheetName val="Trade_off"/>
      <sheetName val="ProductTreeMain"/>
      <sheetName val="Constants"/>
    </sheetNames>
    <sheetDataSet>
      <sheetData sheetId="0"/>
      <sheetData sheetId="1"/>
      <sheetData sheetId="2"/>
      <sheetData sheetId="3"/>
      <sheetData sheetId="4"/>
      <sheetData sheetId="5"/>
      <sheetData sheetId="6"/>
      <sheetData sheetId="7"/>
      <sheetData sheetId="8"/>
      <sheetData sheetId="9"/>
      <sheetData sheetId="10"/>
      <sheetData sheetId="11">
        <row r="4">
          <cell r="B4">
            <v>5.6705100000000003E-8</v>
          </cell>
        </row>
        <row r="18">
          <cell r="B18">
            <v>1737</v>
          </cell>
        </row>
        <row r="19">
          <cell r="B19">
            <v>4902</v>
          </cell>
        </row>
        <row r="29">
          <cell r="B29">
            <v>1226</v>
          </cell>
        </row>
        <row r="30">
          <cell r="B30">
            <v>5.2</v>
          </cell>
        </row>
        <row r="32">
          <cell r="B32">
            <v>7.2999999999999995E-2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Obs Payload - Optics"/>
      <sheetName val="Obs Payload - Sizing"/>
      <sheetName val="Obs Payload- Along Track Stereo"/>
      <sheetName val="MSI-Radiometric budget"/>
      <sheetName val="Modes"/>
      <sheetName val="EO- Missions"/>
      <sheetName val="EO Sensors"/>
      <sheetName val="ProductTreeMain"/>
      <sheetName val="Trade_off"/>
      <sheetName val="Db"/>
      <sheetName val="Constants"/>
      <sheetName val="ESA-ISU_Payload_v2"/>
    </sheetNames>
    <sheetDataSet>
      <sheetData sheetId="0" refreshError="1"/>
      <sheetData sheetId="1" refreshError="1"/>
      <sheetData sheetId="2" refreshError="1"/>
      <sheetData sheetId="3">
        <row r="35">
          <cell r="D35">
            <v>2.4383172413793104</v>
          </cell>
        </row>
        <row r="36">
          <cell r="D36"/>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Description"/>
      <sheetName val="Obs Payload - Optics"/>
      <sheetName val="Obs Payload - Sizing"/>
      <sheetName val="Obs Payload- Along Track Stereo"/>
      <sheetName val="MSI-Radiometric budget"/>
      <sheetName val="EO- Missions"/>
      <sheetName val="Sensors-Db"/>
      <sheetName val="Constants"/>
    </sheetNames>
    <sheetDataSet>
      <sheetData sheetId="0"/>
      <sheetData sheetId="1"/>
      <sheetData sheetId="2"/>
      <sheetData sheetId="3"/>
      <sheetData sheetId="4"/>
      <sheetData sheetId="5"/>
      <sheetData sheetId="6"/>
      <sheetData sheetId="7">
        <row r="1">
          <cell r="B1">
            <v>299792458</v>
          </cell>
        </row>
        <row r="3">
          <cell r="B3">
            <v>1.3806580000000001E-23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system"/>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Description"/>
      <sheetName val="Cover"/>
      <sheetName val="Change Log"/>
      <sheetName val="Objectives"/>
      <sheetName val="Attitude Control - Torques"/>
      <sheetName val="Modes"/>
      <sheetName val="Attitude Control - Sizing"/>
      <sheetName val="ProductTreeMain"/>
      <sheetName val="Trade_off"/>
      <sheetName val="Constants"/>
    </sheetNames>
    <sheetDataSet>
      <sheetData sheetId="0" refreshError="1"/>
      <sheetData sheetId="1" refreshError="1"/>
      <sheetData sheetId="2" refreshError="1"/>
      <sheetData sheetId="3" refreshError="1"/>
      <sheetData sheetId="4" refreshError="1"/>
      <sheetData sheetId="5" refreshError="1"/>
      <sheetData sheetId="6">
        <row r="20">
          <cell r="Q20">
            <v>0.2</v>
          </cell>
        </row>
        <row r="30">
          <cell r="Q30">
            <v>0.5</v>
          </cell>
        </row>
        <row r="66">
          <cell r="Q66">
            <v>0</v>
          </cell>
        </row>
      </sheetData>
      <sheetData sheetId="7" refreshError="1"/>
      <sheetData sheetId="8" refreshError="1"/>
      <sheetData sheetId="9">
        <row r="1">
          <cell r="B1">
            <v>299792458</v>
          </cell>
        </row>
        <row r="11">
          <cell r="B11">
            <v>6378.1369999999997</v>
          </cell>
        </row>
        <row r="12">
          <cell r="B12">
            <v>398600.44179999997</v>
          </cell>
        </row>
        <row r="33">
          <cell r="B33">
            <v>1367</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orkbook Description"/>
      <sheetName val="Cover"/>
      <sheetName val="Change Log"/>
      <sheetName val="Attitude Control - Torques"/>
      <sheetName val="Modes"/>
      <sheetName val="Attitude Control - Sizing"/>
      <sheetName val="Constants"/>
    </sheetNames>
    <sheetDataSet>
      <sheetData sheetId="0" refreshError="1"/>
      <sheetData sheetId="1" refreshError="1"/>
      <sheetData sheetId="2" refreshError="1"/>
      <sheetData sheetId="3" refreshError="1"/>
      <sheetData sheetId="4" refreshError="1"/>
      <sheetData sheetId="5">
        <row r="20">
          <cell r="Q20">
            <v>0.2</v>
          </cell>
        </row>
        <row r="30">
          <cell r="Q30">
            <v>0.5</v>
          </cell>
        </row>
        <row r="66">
          <cell r="Q66">
            <v>0</v>
          </cell>
        </row>
      </sheetData>
      <sheetData sheetId="6">
        <row r="1">
          <cell r="B1">
            <v>299792458</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Workbook Description"/>
      <sheetName val="Change Log"/>
      <sheetName val="Objectives"/>
      <sheetName val="Mission Timeline"/>
      <sheetName val="Orbits - Dynamics"/>
      <sheetName val="Orbits - Geometry"/>
      <sheetName val="Planet Coverage Vs Latitude"/>
      <sheetName val="Interplanetary - Launch Windows"/>
      <sheetName val="Interplanetary Missions"/>
      <sheetName val="Interplanetary -Transfer "/>
      <sheetName val="Interplanetary - Fly-Bys"/>
      <sheetName val="Orbits - Maneuvers"/>
      <sheetName val="Orbit - Constellation"/>
      <sheetName val="Orbits - Budgets"/>
      <sheetName val="Launch Vehicle Information I"/>
      <sheetName val="Launch Vehicle Information II"/>
      <sheetName val="Launch Sites Information"/>
      <sheetName val="Transfer Vehicle Information"/>
      <sheetName val="EO- Missions"/>
      <sheetName val="ProductTreeMain"/>
      <sheetName val="Trade_off"/>
      <sheetName val="Constants"/>
      <sheetName val="M(H,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7">
          <cell r="B7">
            <v>132700000000</v>
          </cell>
        </row>
        <row r="9">
          <cell r="B9">
            <v>149600016.456</v>
          </cell>
        </row>
        <row r="14">
          <cell r="B14">
            <v>24</v>
          </cell>
        </row>
        <row r="16">
          <cell r="B16">
            <v>149600000</v>
          </cell>
        </row>
        <row r="19">
          <cell r="B19">
            <v>4902</v>
          </cell>
        </row>
        <row r="20">
          <cell r="B20">
            <v>2.0269999999999999E-4</v>
          </cell>
        </row>
        <row r="27">
          <cell r="B27">
            <v>126.31820461308959</v>
          </cell>
        </row>
      </sheetData>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nge Log"/>
      <sheetName val="Objectives"/>
      <sheetName val="CDH - DataBudget &amp; Mass Storage"/>
      <sheetName val="CDH -Single Master"/>
      <sheetName val="Distributed - ADCS board"/>
      <sheetName val="Distributed - Payload Board"/>
      <sheetName val="Distributed - TT&amp;C"/>
      <sheetName val="Radiation Hardness"/>
      <sheetName val="CDH -Distributed"/>
      <sheetName val="ProductTreeMain"/>
      <sheetName val="Trade_off"/>
      <sheetName val="Consta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18">
          <cell r="B18">
            <v>6378.1369999999997</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nge Log"/>
      <sheetName val="General Inputs"/>
      <sheetName val="Cylinder"/>
      <sheetName val="Prism"/>
      <sheetName val="MainTrade"/>
      <sheetName val="ProductTreeMain"/>
      <sheetName val="Temp"/>
      <sheetName val="Db"/>
      <sheetName val="Constants"/>
      <sheetName val="Structure_V1"/>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ow r="6">
          <cell r="B6">
            <v>6378.14</v>
          </cell>
        </row>
        <row r="7">
          <cell r="B7">
            <v>398600.5</v>
          </cell>
        </row>
      </sheetData>
      <sheetData sheetId="1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
  <sheetViews>
    <sheetView showGridLines="0" zoomScale="40" zoomScaleNormal="40" workbookViewId="0">
      <selection activeCell="V61" sqref="V61"/>
    </sheetView>
  </sheetViews>
  <sheetFormatPr defaultRowHeight="12.75" x14ac:dyDescent="0.2"/>
  <cols>
    <col min="1" max="16384" width="9.140625" style="1"/>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9"/>
  <sheetViews>
    <sheetView workbookViewId="0">
      <selection activeCell="E15" sqref="E15"/>
    </sheetView>
  </sheetViews>
  <sheetFormatPr defaultColWidth="8.7109375" defaultRowHeight="12.75" x14ac:dyDescent="0.2"/>
  <cols>
    <col min="1" max="1" width="10.5703125" style="1" bestFit="1" customWidth="1"/>
    <col min="2" max="2" width="8.7109375" style="1"/>
    <col min="3" max="3" width="14.5703125" style="1" bestFit="1" customWidth="1"/>
    <col min="4" max="4" width="14.85546875" style="1" bestFit="1" customWidth="1"/>
    <col min="5" max="5" width="70.28515625" style="1" bestFit="1" customWidth="1"/>
    <col min="6" max="6" width="22.85546875" style="1" bestFit="1" customWidth="1"/>
    <col min="7" max="16384" width="8.7109375" style="1"/>
  </cols>
  <sheetData>
    <row r="1" spans="1:6" ht="21" thickBot="1" x14ac:dyDescent="0.35">
      <c r="A1" s="2" t="s">
        <v>58</v>
      </c>
      <c r="B1" s="2" t="s">
        <v>59</v>
      </c>
      <c r="C1" s="2" t="s">
        <v>60</v>
      </c>
      <c r="D1" s="2" t="s">
        <v>61</v>
      </c>
      <c r="E1" s="2" t="s">
        <v>62</v>
      </c>
      <c r="F1" s="3" t="s">
        <v>63</v>
      </c>
    </row>
    <row r="2" spans="1:6" x14ac:dyDescent="0.2">
      <c r="E2" s="4"/>
    </row>
    <row r="3" spans="1:6" x14ac:dyDescent="0.2">
      <c r="E3" s="4"/>
    </row>
    <row r="4" spans="1:6" x14ac:dyDescent="0.2">
      <c r="E4" s="4"/>
    </row>
    <row r="5" spans="1:6" x14ac:dyDescent="0.2">
      <c r="E5" s="4"/>
    </row>
    <row r="6" spans="1:6" x14ac:dyDescent="0.2">
      <c r="E6" s="4"/>
    </row>
    <row r="7" spans="1:6" x14ac:dyDescent="0.2">
      <c r="E7" s="4"/>
    </row>
    <row r="8" spans="1:6" x14ac:dyDescent="0.2">
      <c r="E8" s="4"/>
    </row>
    <row r="9" spans="1:6" x14ac:dyDescent="0.2">
      <c r="E9" s="4"/>
      <c r="F9"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7030A0"/>
  </sheetPr>
  <dimension ref="A1"/>
  <sheetViews>
    <sheetView showGridLines="0" zoomScale="70" zoomScaleNormal="70" workbookViewId="0">
      <selection activeCell="G52" sqref="G52"/>
    </sheetView>
  </sheetViews>
  <sheetFormatPr defaultColWidth="8.7109375" defaultRowHeight="12.75" x14ac:dyDescent="0.2"/>
  <cols>
    <col min="1" max="16384" width="8.7109375" style="1"/>
  </cols>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oglio1">
    <tabColor rgb="FF0070C0"/>
  </sheetPr>
  <dimension ref="A3:H48"/>
  <sheetViews>
    <sheetView showGridLines="0" tabSelected="1" zoomScale="70" zoomScaleNormal="70" workbookViewId="0">
      <selection activeCell="AA22" sqref="AA22"/>
    </sheetView>
  </sheetViews>
  <sheetFormatPr defaultRowHeight="15" x14ac:dyDescent="0.25"/>
  <cols>
    <col min="1" max="1" width="30.5703125" bestFit="1" customWidth="1"/>
    <col min="2" max="2" width="4.85546875" bestFit="1" customWidth="1"/>
    <col min="4" max="4" width="8.140625" bestFit="1" customWidth="1"/>
  </cols>
  <sheetData>
    <row r="3" spans="1:8" ht="15.75" thickBot="1" x14ac:dyDescent="0.3"/>
    <row r="4" spans="1:8" x14ac:dyDescent="0.25">
      <c r="A4" s="252" t="s">
        <v>334</v>
      </c>
      <c r="B4" s="253"/>
      <c r="C4" s="253"/>
      <c r="D4" s="253"/>
      <c r="E4" s="253"/>
      <c r="F4" s="253"/>
      <c r="G4" s="253"/>
      <c r="H4" s="254"/>
    </row>
    <row r="5" spans="1:8" x14ac:dyDescent="0.25">
      <c r="A5" s="255" t="s">
        <v>55</v>
      </c>
      <c r="B5" s="256" t="s">
        <v>57</v>
      </c>
      <c r="C5" s="259"/>
      <c r="D5" s="257">
        <f>0.17/2</f>
        <v>8.5000000000000006E-2</v>
      </c>
      <c r="E5" s="258" t="s">
        <v>56</v>
      </c>
      <c r="F5" s="259"/>
      <c r="G5" s="259"/>
      <c r="H5" s="260"/>
    </row>
    <row r="6" spans="1:8" x14ac:dyDescent="0.25">
      <c r="A6" s="255" t="s">
        <v>3</v>
      </c>
      <c r="B6" s="256" t="s">
        <v>15</v>
      </c>
      <c r="C6" s="259"/>
      <c r="D6" s="257">
        <v>0.3</v>
      </c>
      <c r="E6" s="258" t="s">
        <v>4</v>
      </c>
      <c r="F6" s="259"/>
      <c r="G6" s="259"/>
      <c r="H6" s="260"/>
    </row>
    <row r="7" spans="1:8" x14ac:dyDescent="0.25">
      <c r="A7" s="255" t="s">
        <v>5</v>
      </c>
      <c r="B7" s="256" t="s">
        <v>16</v>
      </c>
      <c r="C7" s="259"/>
      <c r="D7" s="257">
        <v>0.2</v>
      </c>
      <c r="E7" s="258" t="s">
        <v>4</v>
      </c>
      <c r="F7" s="259"/>
      <c r="G7" s="259"/>
      <c r="H7" s="260"/>
    </row>
    <row r="8" spans="1:8" ht="15.75" thickBot="1" x14ac:dyDescent="0.3">
      <c r="A8" s="261" t="s">
        <v>6</v>
      </c>
      <c r="B8" s="262" t="s">
        <v>17</v>
      </c>
      <c r="C8" s="259"/>
      <c r="D8" s="263">
        <v>4.0000000000000001E-3</v>
      </c>
      <c r="E8" s="264" t="s">
        <v>4</v>
      </c>
      <c r="F8" s="265"/>
      <c r="G8" s="265"/>
      <c r="H8" s="266"/>
    </row>
    <row r="9" spans="1:8" x14ac:dyDescent="0.25">
      <c r="A9" s="208" t="s">
        <v>43</v>
      </c>
      <c r="B9" s="209"/>
      <c r="C9" s="209"/>
      <c r="D9" s="209"/>
      <c r="E9" s="209"/>
      <c r="F9" s="209"/>
      <c r="G9" s="209"/>
      <c r="H9" s="210"/>
    </row>
    <row r="10" spans="1:8" x14ac:dyDescent="0.25">
      <c r="A10" s="223"/>
      <c r="B10" s="224"/>
      <c r="C10" s="224"/>
      <c r="D10" s="224"/>
      <c r="E10" s="224"/>
      <c r="F10" s="224"/>
      <c r="G10" s="224"/>
      <c r="H10" s="225"/>
    </row>
    <row r="11" spans="1:8" x14ac:dyDescent="0.25">
      <c r="A11" s="223" t="s">
        <v>40</v>
      </c>
      <c r="B11" s="226" t="s">
        <v>14</v>
      </c>
      <c r="C11" s="230"/>
      <c r="D11" s="227">
        <v>2.8</v>
      </c>
      <c r="E11" s="228" t="s">
        <v>2</v>
      </c>
      <c r="F11" s="224"/>
      <c r="G11" s="224"/>
      <c r="H11" s="225"/>
    </row>
    <row r="12" spans="1:8" x14ac:dyDescent="0.25">
      <c r="A12" s="223" t="s">
        <v>41</v>
      </c>
      <c r="B12" s="229"/>
      <c r="C12" s="230"/>
      <c r="D12" s="227">
        <v>0.8</v>
      </c>
      <c r="E12" s="228" t="s">
        <v>1</v>
      </c>
      <c r="F12" s="224"/>
      <c r="G12" s="224"/>
      <c r="H12" s="225"/>
    </row>
    <row r="13" spans="1:8" x14ac:dyDescent="0.25">
      <c r="A13" s="223" t="s">
        <v>55</v>
      </c>
      <c r="B13" s="229" t="s">
        <v>57</v>
      </c>
      <c r="C13" s="230"/>
      <c r="D13" s="227">
        <f>IF(C13="",D5,C13)</f>
        <v>8.5000000000000006E-2</v>
      </c>
      <c r="E13" s="228" t="s">
        <v>56</v>
      </c>
      <c r="F13" s="224"/>
      <c r="G13" s="224"/>
      <c r="H13" s="225"/>
    </row>
    <row r="14" spans="1:8" x14ac:dyDescent="0.25">
      <c r="A14" s="223" t="s">
        <v>3</v>
      </c>
      <c r="B14" s="229" t="s">
        <v>15</v>
      </c>
      <c r="C14" s="230"/>
      <c r="D14" s="227">
        <f t="shared" ref="D14:D16" si="0">IF(C14="",D6,C14)</f>
        <v>0.3</v>
      </c>
      <c r="E14" s="228" t="s">
        <v>4</v>
      </c>
      <c r="F14" s="224"/>
      <c r="G14" s="224"/>
      <c r="H14" s="225"/>
    </row>
    <row r="15" spans="1:8" x14ac:dyDescent="0.25">
      <c r="A15" s="223" t="s">
        <v>5</v>
      </c>
      <c r="B15" s="229" t="s">
        <v>16</v>
      </c>
      <c r="C15" s="230"/>
      <c r="D15" s="227">
        <f t="shared" si="0"/>
        <v>0.2</v>
      </c>
      <c r="E15" s="228" t="s">
        <v>4</v>
      </c>
      <c r="F15" s="224"/>
      <c r="G15" s="224"/>
      <c r="H15" s="225"/>
    </row>
    <row r="16" spans="1:8" x14ac:dyDescent="0.25">
      <c r="A16" s="223" t="s">
        <v>6</v>
      </c>
      <c r="B16" s="229" t="s">
        <v>17</v>
      </c>
      <c r="C16" s="230"/>
      <c r="D16" s="227">
        <f t="shared" si="0"/>
        <v>4.0000000000000001E-3</v>
      </c>
      <c r="E16" s="228" t="s">
        <v>4</v>
      </c>
      <c r="F16" s="224"/>
      <c r="G16" s="224"/>
      <c r="H16" s="225"/>
    </row>
    <row r="17" spans="1:8" x14ac:dyDescent="0.25">
      <c r="A17" s="223" t="s">
        <v>53</v>
      </c>
      <c r="B17" s="229" t="s">
        <v>18</v>
      </c>
      <c r="C17" s="230"/>
      <c r="D17" s="227">
        <f>D14/2</f>
        <v>0.15</v>
      </c>
      <c r="E17" s="228" t="s">
        <v>4</v>
      </c>
      <c r="F17" s="224"/>
      <c r="G17" s="224"/>
      <c r="H17" s="225"/>
    </row>
    <row r="18" spans="1:8" x14ac:dyDescent="0.25">
      <c r="A18" s="223" t="s">
        <v>46</v>
      </c>
      <c r="B18" s="229" t="s">
        <v>19</v>
      </c>
      <c r="C18" s="230"/>
      <c r="D18" s="227">
        <v>1.5</v>
      </c>
      <c r="E18" s="228"/>
      <c r="F18" s="224"/>
      <c r="G18" s="224"/>
      <c r="H18" s="225"/>
    </row>
    <row r="19" spans="1:8" x14ac:dyDescent="0.25">
      <c r="A19" s="223" t="s">
        <v>25</v>
      </c>
      <c r="B19" s="229" t="s">
        <v>20</v>
      </c>
      <c r="C19" s="230"/>
      <c r="D19" s="227">
        <v>90</v>
      </c>
      <c r="E19" s="228" t="s">
        <v>9</v>
      </c>
      <c r="F19" s="224"/>
      <c r="G19" s="224"/>
      <c r="H19" s="225"/>
    </row>
    <row r="20" spans="1:8" x14ac:dyDescent="0.25">
      <c r="A20" s="223" t="s">
        <v>26</v>
      </c>
      <c r="B20" s="229" t="s">
        <v>21</v>
      </c>
      <c r="C20" s="230"/>
      <c r="D20" s="227">
        <v>4</v>
      </c>
      <c r="E20" s="228" t="s">
        <v>10</v>
      </c>
      <c r="F20" s="224"/>
      <c r="G20" s="224"/>
      <c r="H20" s="225"/>
    </row>
    <row r="21" spans="1:8" x14ac:dyDescent="0.25">
      <c r="A21" s="223" t="s">
        <v>27</v>
      </c>
      <c r="B21" s="229" t="s">
        <v>22</v>
      </c>
      <c r="C21" s="230"/>
      <c r="D21" s="227">
        <v>2</v>
      </c>
      <c r="E21" s="228" t="s">
        <v>10</v>
      </c>
      <c r="F21" s="224"/>
      <c r="G21" s="224"/>
      <c r="H21" s="225"/>
    </row>
    <row r="22" spans="1:8" x14ac:dyDescent="0.25">
      <c r="A22" s="223" t="s">
        <v>28</v>
      </c>
      <c r="B22" s="229" t="s">
        <v>23</v>
      </c>
      <c r="C22" s="230"/>
      <c r="D22" s="227">
        <f>60*15</f>
        <v>900</v>
      </c>
      <c r="E22" s="228" t="s">
        <v>10</v>
      </c>
      <c r="F22" s="224"/>
      <c r="G22" s="224"/>
      <c r="H22" s="225"/>
    </row>
    <row r="23" spans="1:8" x14ac:dyDescent="0.25">
      <c r="A23" s="223" t="s">
        <v>29</v>
      </c>
      <c r="B23" s="229" t="s">
        <v>24</v>
      </c>
      <c r="C23" s="230"/>
      <c r="D23" s="227">
        <v>1.4999999999999999E-2</v>
      </c>
      <c r="E23" s="228" t="s">
        <v>12</v>
      </c>
      <c r="F23" s="224"/>
      <c r="G23" s="224"/>
      <c r="H23" s="225"/>
    </row>
    <row r="24" spans="1:8" x14ac:dyDescent="0.25">
      <c r="A24" s="223" t="s">
        <v>54</v>
      </c>
      <c r="B24" s="229"/>
      <c r="C24" s="230"/>
      <c r="D24" s="230"/>
      <c r="E24" s="224"/>
      <c r="F24" s="224"/>
      <c r="G24" s="224"/>
      <c r="H24" s="225"/>
    </row>
    <row r="25" spans="1:8" ht="15.75" thickBot="1" x14ac:dyDescent="0.3">
      <c r="A25" s="223"/>
      <c r="B25" s="229"/>
      <c r="C25" s="224"/>
      <c r="D25" s="224"/>
      <c r="E25" s="224"/>
      <c r="F25" s="224"/>
      <c r="G25" s="224"/>
      <c r="H25" s="225"/>
    </row>
    <row r="26" spans="1:8" ht="15.75" thickTop="1" x14ac:dyDescent="0.25">
      <c r="A26" s="202" t="s">
        <v>45</v>
      </c>
      <c r="B26" s="203"/>
      <c r="C26" s="203"/>
      <c r="D26" s="203"/>
      <c r="E26" s="203"/>
      <c r="F26" s="203"/>
      <c r="G26" s="203"/>
      <c r="H26" s="204"/>
    </row>
    <row r="27" spans="1:8" x14ac:dyDescent="0.25">
      <c r="A27" s="231"/>
      <c r="B27" s="232"/>
      <c r="C27" s="232"/>
      <c r="D27" s="232"/>
      <c r="E27" s="232"/>
      <c r="F27" s="232"/>
      <c r="G27" s="232"/>
      <c r="H27" s="233"/>
    </row>
    <row r="28" spans="1:8" x14ac:dyDescent="0.25">
      <c r="A28" s="231" t="s">
        <v>42</v>
      </c>
      <c r="B28" s="234" t="s">
        <v>30</v>
      </c>
      <c r="C28" s="235">
        <f>D19/360*60/(D20-D21)</f>
        <v>7.5</v>
      </c>
      <c r="D28" s="236" t="s">
        <v>11</v>
      </c>
      <c r="E28" s="232"/>
      <c r="F28" s="232"/>
      <c r="G28" s="232"/>
      <c r="H28" s="233"/>
    </row>
    <row r="29" spans="1:8" x14ac:dyDescent="0.25">
      <c r="A29" s="231" t="s">
        <v>31</v>
      </c>
      <c r="B29" s="234" t="s">
        <v>0</v>
      </c>
      <c r="C29" s="237">
        <f>D11*D14*D15*D16+D12*D13</f>
        <v>6.8672000000000011E-2</v>
      </c>
      <c r="D29" s="236" t="s">
        <v>7</v>
      </c>
      <c r="E29" s="232"/>
      <c r="F29" s="232"/>
      <c r="G29" s="232"/>
      <c r="H29" s="233"/>
    </row>
    <row r="30" spans="1:8" x14ac:dyDescent="0.25">
      <c r="A30" s="231" t="s">
        <v>37</v>
      </c>
      <c r="B30" s="234" t="s">
        <v>32</v>
      </c>
      <c r="C30" s="237">
        <f>C29/12*(D14+D16)^2+C29*D17^2</f>
        <v>2.0739859626666668E-3</v>
      </c>
      <c r="D30" s="236" t="s">
        <v>8</v>
      </c>
      <c r="E30" s="232"/>
      <c r="F30" s="232"/>
      <c r="G30" s="232"/>
      <c r="H30" s="233"/>
    </row>
    <row r="31" spans="1:8" x14ac:dyDescent="0.25">
      <c r="A31" s="231" t="s">
        <v>35</v>
      </c>
      <c r="B31" s="234" t="s">
        <v>34</v>
      </c>
      <c r="C31" s="237">
        <f>(1+1/(IF(D24&lt;&gt;"",D24,5)))*C30*C28/(9.81*D21)</f>
        <v>9.5136970764525986E-4</v>
      </c>
      <c r="D31" s="236" t="s">
        <v>12</v>
      </c>
      <c r="E31" s="232"/>
      <c r="F31" s="232"/>
      <c r="G31" s="232"/>
      <c r="H31" s="233"/>
    </row>
    <row r="32" spans="1:8" ht="15.75" thickBot="1" x14ac:dyDescent="0.3">
      <c r="A32" s="231"/>
      <c r="B32" s="234"/>
      <c r="C32" s="232"/>
      <c r="D32" s="232"/>
      <c r="E32" s="232"/>
      <c r="F32" s="232"/>
      <c r="G32" s="232"/>
      <c r="H32" s="233"/>
    </row>
    <row r="33" spans="1:8" ht="15.75" thickTop="1" x14ac:dyDescent="0.25">
      <c r="A33" s="205" t="s">
        <v>44</v>
      </c>
      <c r="B33" s="206"/>
      <c r="C33" s="206"/>
      <c r="D33" s="206"/>
      <c r="E33" s="206"/>
      <c r="F33" s="206"/>
      <c r="G33" s="206"/>
      <c r="H33" s="207"/>
    </row>
    <row r="34" spans="1:8" ht="15.75" thickBot="1" x14ac:dyDescent="0.3">
      <c r="A34" s="238"/>
      <c r="B34" s="239"/>
      <c r="C34" s="240"/>
      <c r="D34" s="240"/>
      <c r="E34" s="240"/>
      <c r="F34" s="240"/>
      <c r="G34" s="240"/>
      <c r="H34" s="241"/>
    </row>
    <row r="35" spans="1:8" x14ac:dyDescent="0.25">
      <c r="A35" s="238" t="s">
        <v>36</v>
      </c>
      <c r="B35" s="242" t="s">
        <v>33</v>
      </c>
      <c r="C35" s="243">
        <f>(C31+D23)*D18</f>
        <v>2.3927054561467889E-2</v>
      </c>
      <c r="D35" s="244" t="s">
        <v>12</v>
      </c>
      <c r="E35" s="240"/>
      <c r="F35" s="240"/>
      <c r="G35" s="240"/>
      <c r="H35" s="241"/>
    </row>
    <row r="36" spans="1:8" ht="15.75" thickBot="1" x14ac:dyDescent="0.3">
      <c r="A36" s="238"/>
      <c r="B36" s="242"/>
      <c r="C36" s="245">
        <f>C35*1000</f>
        <v>23.927054561467891</v>
      </c>
      <c r="D36" s="244" t="s">
        <v>13</v>
      </c>
      <c r="E36" s="240"/>
      <c r="F36" s="240"/>
      <c r="G36" s="240"/>
      <c r="H36" s="241"/>
    </row>
    <row r="37" spans="1:8" ht="15.75" thickBot="1" x14ac:dyDescent="0.3">
      <c r="A37" s="238"/>
      <c r="B37" s="242"/>
      <c r="C37" s="246"/>
      <c r="D37" s="244"/>
      <c r="E37" s="240"/>
      <c r="F37" s="240"/>
      <c r="G37" s="240"/>
      <c r="H37" s="241"/>
    </row>
    <row r="38" spans="1:8" ht="14.25" customHeight="1" x14ac:dyDescent="0.25">
      <c r="A38" s="238" t="s">
        <v>39</v>
      </c>
      <c r="B38" s="242" t="s">
        <v>38</v>
      </c>
      <c r="C38" s="243">
        <f>SQRT((((C31+D23)^2*D21)+(D23^2*(D20-2*D21))+((C31-D23)^2*D21))/(D20+D22))*D18</f>
        <v>1.4996850476450435E-3</v>
      </c>
      <c r="D38" s="244" t="s">
        <v>12</v>
      </c>
      <c r="E38" s="240"/>
      <c r="F38" s="240"/>
      <c r="G38" s="240"/>
      <c r="H38" s="241"/>
    </row>
    <row r="39" spans="1:8" ht="15.75" thickBot="1" x14ac:dyDescent="0.3">
      <c r="A39" s="238"/>
      <c r="B39" s="242"/>
      <c r="C39" s="245">
        <f>C38*1000</f>
        <v>1.4996850476450434</v>
      </c>
      <c r="D39" s="244" t="s">
        <v>13</v>
      </c>
      <c r="E39" s="240"/>
      <c r="F39" s="240"/>
      <c r="G39" s="240"/>
      <c r="H39" s="241"/>
    </row>
    <row r="40" spans="1:8" ht="15.75" thickBot="1" x14ac:dyDescent="0.3">
      <c r="A40" s="238"/>
      <c r="B40" s="242"/>
      <c r="C40" s="240"/>
      <c r="D40" s="240"/>
      <c r="E40" s="240"/>
      <c r="F40" s="240"/>
      <c r="G40" s="240"/>
      <c r="H40" s="241"/>
    </row>
    <row r="41" spans="1:8" ht="15.75" thickTop="1" x14ac:dyDescent="0.25">
      <c r="A41" s="205" t="s">
        <v>48</v>
      </c>
      <c r="B41" s="206"/>
      <c r="C41" s="206"/>
      <c r="D41" s="206"/>
      <c r="E41" s="206"/>
      <c r="F41" s="206"/>
      <c r="G41" s="206"/>
      <c r="H41" s="207"/>
    </row>
    <row r="42" spans="1:8" x14ac:dyDescent="0.25">
      <c r="A42" s="238"/>
      <c r="B42" s="242"/>
      <c r="C42" s="240"/>
      <c r="D42" s="240"/>
      <c r="E42" s="240"/>
      <c r="F42" s="240"/>
      <c r="G42" s="240"/>
      <c r="H42" s="241"/>
    </row>
    <row r="43" spans="1:8" x14ac:dyDescent="0.25">
      <c r="A43" s="238" t="s">
        <v>49</v>
      </c>
      <c r="B43" s="242" t="s">
        <v>52</v>
      </c>
      <c r="C43" s="247">
        <f>5*10^(-10)</f>
        <v>5.0000000000000003E-10</v>
      </c>
      <c r="D43" s="244" t="s">
        <v>8</v>
      </c>
      <c r="E43" s="240"/>
      <c r="F43" s="240"/>
      <c r="G43" s="240"/>
      <c r="H43" s="241"/>
    </row>
    <row r="44" spans="1:8" x14ac:dyDescent="0.25">
      <c r="A44" s="238" t="s">
        <v>50</v>
      </c>
      <c r="B44" s="242" t="s">
        <v>51</v>
      </c>
      <c r="C44" s="247">
        <v>1024</v>
      </c>
      <c r="D44" s="240"/>
      <c r="E44" s="240"/>
      <c r="F44" s="240"/>
      <c r="G44" s="240"/>
      <c r="H44" s="241"/>
    </row>
    <row r="45" spans="1:8" ht="15.75" thickBot="1" x14ac:dyDescent="0.3">
      <c r="A45" s="238"/>
      <c r="B45" s="240"/>
      <c r="C45" s="240"/>
      <c r="D45" s="240"/>
      <c r="E45" s="240"/>
      <c r="F45" s="240"/>
      <c r="G45" s="240"/>
      <c r="H45" s="241"/>
    </row>
    <row r="46" spans="1:8" ht="15.75" thickBot="1" x14ac:dyDescent="0.3">
      <c r="A46" s="238" t="s">
        <v>47</v>
      </c>
      <c r="B46" s="240"/>
      <c r="C46" s="248">
        <f>C30/(C43*C44^2)</f>
        <v>3.9558142903645832</v>
      </c>
      <c r="D46" s="240"/>
      <c r="E46" s="240"/>
      <c r="F46" s="240"/>
      <c r="G46" s="240"/>
      <c r="H46" s="241"/>
    </row>
    <row r="47" spans="1:8" x14ac:dyDescent="0.25">
      <c r="A47" s="238"/>
      <c r="B47" s="240"/>
      <c r="C47" s="240"/>
      <c r="D47" s="240"/>
      <c r="E47" s="240"/>
      <c r="F47" s="240"/>
      <c r="G47" s="240"/>
      <c r="H47" s="241"/>
    </row>
    <row r="48" spans="1:8" ht="15.75" thickBot="1" x14ac:dyDescent="0.3">
      <c r="A48" s="249"/>
      <c r="B48" s="250"/>
      <c r="C48" s="250"/>
      <c r="D48" s="250"/>
      <c r="E48" s="250"/>
      <c r="F48" s="250"/>
      <c r="G48" s="250"/>
      <c r="H48" s="251"/>
    </row>
  </sheetData>
  <protectedRanges>
    <protectedRange sqref="C43:C44" name="Intervallo2"/>
    <protectedRange sqref="D5:D8 D11:D24" name="Intervallo1"/>
  </protectedRanges>
  <mergeCells count="2">
    <mergeCell ref="A9:H9"/>
    <mergeCell ref="A4:H4"/>
  </mergeCell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sheetPr>
  <dimension ref="A1:AB89"/>
  <sheetViews>
    <sheetView topLeftCell="B1" zoomScale="40" zoomScaleNormal="40" workbookViewId="0">
      <selection activeCell="AK31" sqref="AK31"/>
    </sheetView>
  </sheetViews>
  <sheetFormatPr defaultColWidth="8.7109375" defaultRowHeight="15" x14ac:dyDescent="0.25"/>
  <cols>
    <col min="1" max="1" width="13.42578125" style="54" bestFit="1" customWidth="1"/>
    <col min="2" max="2" width="32.42578125" style="54" customWidth="1"/>
    <col min="3" max="3" width="5.7109375" style="54" customWidth="1"/>
    <col min="4" max="4" width="12.28515625" style="54" bestFit="1" customWidth="1"/>
    <col min="5" max="5" width="5.7109375" style="54" customWidth="1"/>
    <col min="6" max="6" width="12.28515625" style="54" bestFit="1" customWidth="1"/>
    <col min="7" max="7" width="5.7109375" style="54" customWidth="1"/>
    <col min="8" max="8" width="12.28515625" style="54" bestFit="1" customWidth="1"/>
    <col min="9" max="9" width="5.7109375" style="54" customWidth="1"/>
    <col min="10" max="10" width="12.28515625" style="54" bestFit="1" customWidth="1"/>
    <col min="11" max="11" width="5.7109375" style="54" customWidth="1"/>
    <col min="12" max="12" width="12.28515625" style="54" bestFit="1" customWidth="1"/>
    <col min="13" max="13" width="5.7109375" style="54" customWidth="1"/>
    <col min="14" max="14" width="12.28515625" style="54" bestFit="1" customWidth="1"/>
    <col min="15" max="15" width="5.7109375" style="54" customWidth="1"/>
    <col min="16" max="16" width="12.28515625" style="54" bestFit="1" customWidth="1"/>
    <col min="17" max="17" width="5.7109375" style="54" customWidth="1"/>
    <col min="18" max="18" width="12.28515625" style="54" bestFit="1" customWidth="1"/>
    <col min="19" max="19" width="5.7109375" style="54" customWidth="1"/>
    <col min="20" max="20" width="13.42578125" style="54" bestFit="1" customWidth="1"/>
    <col min="21" max="28" width="8.7109375" style="6"/>
    <col min="29" max="16384" width="8.7109375" style="54"/>
  </cols>
  <sheetData>
    <row r="1" spans="1:20" ht="23.25" x14ac:dyDescent="0.35">
      <c r="A1" s="6"/>
      <c r="B1" s="7" t="s">
        <v>65</v>
      </c>
      <c r="C1" s="6"/>
      <c r="D1" s="6"/>
      <c r="E1" s="6"/>
      <c r="F1" s="6"/>
      <c r="G1" s="6"/>
      <c r="H1" s="6"/>
      <c r="I1" s="6"/>
      <c r="J1" s="6"/>
      <c r="K1" s="6"/>
      <c r="L1" s="6"/>
      <c r="M1" s="6"/>
      <c r="N1" s="6"/>
      <c r="O1" s="6"/>
      <c r="P1" s="6"/>
      <c r="Q1" s="6"/>
      <c r="R1" s="6"/>
      <c r="S1" s="6"/>
      <c r="T1" s="8" t="s">
        <v>66</v>
      </c>
    </row>
    <row r="2" spans="1:20" x14ac:dyDescent="0.25">
      <c r="A2" s="6"/>
      <c r="B2" s="6" t="s">
        <v>67</v>
      </c>
      <c r="C2" s="6"/>
      <c r="D2" s="6"/>
      <c r="E2" s="6"/>
      <c r="F2" s="6"/>
      <c r="G2" s="6"/>
      <c r="H2" s="6"/>
      <c r="I2" s="6"/>
      <c r="J2" s="6"/>
      <c r="K2" s="6"/>
      <c r="L2" s="6"/>
      <c r="M2" s="6"/>
      <c r="N2" s="6"/>
      <c r="O2" s="6"/>
      <c r="P2" s="6"/>
      <c r="Q2" s="6"/>
      <c r="R2" s="6" t="s">
        <v>68</v>
      </c>
      <c r="S2" s="6"/>
      <c r="T2" s="6" t="s">
        <v>69</v>
      </c>
    </row>
    <row r="3" spans="1:20" x14ac:dyDescent="0.25">
      <c r="A3" s="6"/>
      <c r="B3" s="8" t="s">
        <v>70</v>
      </c>
      <c r="C3" s="6"/>
      <c r="D3" s="6"/>
      <c r="E3" s="6"/>
      <c r="F3" s="6"/>
      <c r="G3" s="6"/>
      <c r="H3" s="6"/>
      <c r="I3" s="6"/>
      <c r="J3" s="6"/>
      <c r="K3" s="6"/>
      <c r="L3" s="6"/>
      <c r="M3" s="6"/>
      <c r="N3" s="6"/>
      <c r="O3" s="6"/>
      <c r="P3" s="6"/>
      <c r="Q3" s="6"/>
      <c r="R3" s="6" t="s">
        <v>71</v>
      </c>
      <c r="S3" s="6"/>
      <c r="T3" s="6" t="s">
        <v>72</v>
      </c>
    </row>
    <row r="4" spans="1:20" x14ac:dyDescent="0.25">
      <c r="A4" s="6"/>
      <c r="B4" s="6" t="s">
        <v>73</v>
      </c>
      <c r="C4" s="6"/>
      <c r="D4" s="6"/>
      <c r="E4" s="6"/>
      <c r="F4" s="6"/>
      <c r="G4" s="6"/>
      <c r="H4" s="6"/>
      <c r="I4" s="6"/>
      <c r="J4" s="6"/>
      <c r="K4" s="6"/>
      <c r="L4" s="6"/>
      <c r="M4" s="6"/>
      <c r="N4" s="6"/>
      <c r="O4" s="6"/>
      <c r="P4" s="6"/>
      <c r="Q4" s="6"/>
      <c r="R4" s="6"/>
      <c r="S4" s="6"/>
      <c r="T4" s="8" t="s">
        <v>64</v>
      </c>
    </row>
    <row r="5" spans="1:20" x14ac:dyDescent="0.25">
      <c r="A5" s="6"/>
      <c r="B5" s="6" t="s">
        <v>74</v>
      </c>
      <c r="C5" s="6"/>
      <c r="D5" s="6"/>
      <c r="E5" s="6"/>
      <c r="F5" s="6"/>
      <c r="G5" s="6"/>
      <c r="H5" s="6"/>
      <c r="I5" s="6"/>
      <c r="J5" s="6"/>
      <c r="K5" s="6"/>
      <c r="L5" s="6"/>
      <c r="M5" s="6"/>
      <c r="N5" s="6"/>
      <c r="O5" s="6"/>
      <c r="P5" s="6"/>
      <c r="Q5" s="6"/>
      <c r="R5" s="6"/>
      <c r="S5" s="6"/>
      <c r="T5" s="8" t="s">
        <v>75</v>
      </c>
    </row>
    <row r="6" spans="1:20" x14ac:dyDescent="0.25">
      <c r="A6" s="6"/>
      <c r="B6" s="8" t="s">
        <v>76</v>
      </c>
      <c r="C6" s="6"/>
      <c r="D6" s="6"/>
      <c r="E6" s="6"/>
      <c r="F6" s="6"/>
      <c r="G6" s="6"/>
      <c r="H6" s="6"/>
      <c r="I6" s="6"/>
      <c r="J6" s="6"/>
      <c r="K6" s="6"/>
      <c r="L6" s="6"/>
      <c r="M6" s="6"/>
      <c r="N6" s="6"/>
      <c r="O6" s="6"/>
      <c r="P6" s="6"/>
      <c r="Q6" s="6"/>
      <c r="R6" s="6"/>
      <c r="S6" s="6"/>
      <c r="T6" s="6"/>
    </row>
    <row r="7" spans="1:20" x14ac:dyDescent="0.25">
      <c r="A7" s="6"/>
      <c r="B7" s="6" t="s">
        <v>77</v>
      </c>
      <c r="C7" s="6"/>
      <c r="D7" s="6"/>
      <c r="E7" s="6"/>
      <c r="F7" s="6"/>
      <c r="G7" s="6"/>
      <c r="H7" s="6"/>
      <c r="I7" s="6"/>
      <c r="J7" s="6"/>
      <c r="K7" s="6"/>
      <c r="L7" s="6"/>
      <c r="M7" s="6"/>
      <c r="N7" s="6"/>
      <c r="O7" s="6"/>
      <c r="P7" s="6"/>
      <c r="Q7" s="6"/>
      <c r="R7" s="6"/>
      <c r="S7" s="6"/>
      <c r="T7" s="6"/>
    </row>
    <row r="8" spans="1:20" x14ac:dyDescent="0.25">
      <c r="A8" s="6"/>
      <c r="B8" s="9" t="s">
        <v>78</v>
      </c>
      <c r="C8" s="6"/>
      <c r="D8" s="6"/>
      <c r="E8" s="6"/>
      <c r="F8" s="6"/>
      <c r="G8" s="6"/>
      <c r="H8" s="6"/>
      <c r="I8" s="6"/>
      <c r="J8" s="6"/>
      <c r="K8" s="6"/>
      <c r="L8" s="6"/>
      <c r="M8" s="6"/>
      <c r="N8" s="6"/>
      <c r="O8" s="6"/>
      <c r="P8" s="6"/>
      <c r="Q8" s="6"/>
      <c r="R8" s="6"/>
      <c r="S8" s="6"/>
      <c r="T8" s="6"/>
    </row>
    <row r="9" spans="1:20" x14ac:dyDescent="0.25">
      <c r="A9" s="6"/>
      <c r="B9" s="6"/>
      <c r="C9" s="6"/>
      <c r="D9" s="6"/>
      <c r="E9" s="6"/>
      <c r="F9" s="6"/>
      <c r="G9" s="6"/>
      <c r="H9" s="6"/>
      <c r="I9" s="6"/>
      <c r="J9" s="6"/>
      <c r="K9" s="6"/>
      <c r="L9" s="6"/>
      <c r="M9" s="6"/>
      <c r="N9" s="6"/>
      <c r="O9" s="6"/>
      <c r="P9" s="6"/>
      <c r="Q9" s="6"/>
      <c r="R9" s="6"/>
      <c r="S9" s="6"/>
      <c r="T9" s="6"/>
    </row>
    <row r="10" spans="1:20" x14ac:dyDescent="0.25">
      <c r="A10" s="6"/>
      <c r="B10" s="9" t="s">
        <v>79</v>
      </c>
      <c r="C10" s="6"/>
      <c r="D10" s="6"/>
      <c r="E10" s="6"/>
      <c r="F10" s="6"/>
      <c r="G10" s="6"/>
      <c r="H10" s="6"/>
      <c r="I10" s="6"/>
      <c r="J10" s="6"/>
      <c r="K10" s="6"/>
      <c r="L10" s="6"/>
      <c r="M10" s="6"/>
      <c r="N10" s="6"/>
      <c r="O10" s="6"/>
      <c r="P10" s="6"/>
      <c r="Q10" s="6"/>
      <c r="R10" s="6"/>
      <c r="S10" s="6"/>
      <c r="T10" s="6"/>
    </row>
    <row r="11" spans="1:20" ht="15.75" thickBot="1" x14ac:dyDescent="0.3">
      <c r="A11" s="6"/>
      <c r="B11" s="10" t="s">
        <v>80</v>
      </c>
      <c r="C11" s="10"/>
      <c r="D11" s="10" t="s">
        <v>81</v>
      </c>
      <c r="E11" s="10"/>
      <c r="F11" s="10" t="s">
        <v>82</v>
      </c>
      <c r="G11" s="10"/>
      <c r="H11" s="10" t="s">
        <v>83</v>
      </c>
      <c r="I11" s="10"/>
      <c r="J11" s="10" t="s">
        <v>84</v>
      </c>
      <c r="K11" s="10"/>
      <c r="L11" s="10" t="s">
        <v>85</v>
      </c>
      <c r="M11" s="10"/>
      <c r="N11" s="10" t="s">
        <v>86</v>
      </c>
      <c r="O11" s="10"/>
      <c r="P11" s="10" t="s">
        <v>87</v>
      </c>
      <c r="Q11" s="10"/>
      <c r="R11" s="10" t="s">
        <v>88</v>
      </c>
      <c r="S11" s="10"/>
      <c r="T11" s="10" t="s">
        <v>89</v>
      </c>
    </row>
    <row r="12" spans="1:20" ht="15.75" thickBot="1" x14ac:dyDescent="0.3">
      <c r="A12" s="11" t="s">
        <v>90</v>
      </c>
      <c r="B12" s="12" t="s">
        <v>91</v>
      </c>
      <c r="C12" s="13" t="s">
        <v>68</v>
      </c>
      <c r="D12" s="12" t="s">
        <v>92</v>
      </c>
      <c r="E12" s="12" t="s">
        <v>68</v>
      </c>
      <c r="F12" s="12" t="s">
        <v>93</v>
      </c>
      <c r="G12" s="13" t="s">
        <v>71</v>
      </c>
      <c r="H12" s="12" t="s">
        <v>94</v>
      </c>
      <c r="I12" s="13" t="s">
        <v>71</v>
      </c>
      <c r="J12" s="13" t="s">
        <v>95</v>
      </c>
      <c r="K12" s="13" t="s">
        <v>71</v>
      </c>
      <c r="L12" s="13"/>
      <c r="M12" s="13" t="s">
        <v>71</v>
      </c>
      <c r="N12" s="13"/>
      <c r="O12" s="13" t="s">
        <v>71</v>
      </c>
      <c r="P12" s="13"/>
      <c r="Q12" s="13" t="s">
        <v>71</v>
      </c>
      <c r="R12" s="13"/>
      <c r="S12" s="13" t="s">
        <v>71</v>
      </c>
      <c r="T12" s="14"/>
    </row>
    <row r="13" spans="1:20" ht="15.75" thickBot="1" x14ac:dyDescent="0.3">
      <c r="A13" s="15" t="s">
        <v>96</v>
      </c>
      <c r="B13" s="16"/>
      <c r="C13" s="16">
        <f>IF(C12="&gt;",1,0)</f>
        <v>1</v>
      </c>
      <c r="D13" s="16"/>
      <c r="E13" s="16">
        <f>IF(E12="&gt;",1,0)</f>
        <v>1</v>
      </c>
      <c r="F13" s="16"/>
      <c r="G13" s="16">
        <f>IF(G12="&gt;",1,0)</f>
        <v>0</v>
      </c>
      <c r="H13" s="16"/>
      <c r="I13" s="16">
        <f>IF(I12="&gt;",1,0)</f>
        <v>0</v>
      </c>
      <c r="J13" s="16"/>
      <c r="K13" s="16">
        <f>IF(K12="&gt;",1,0)</f>
        <v>0</v>
      </c>
      <c r="L13" s="16"/>
      <c r="M13" s="16">
        <f>IF(M12="&gt;",1,0)</f>
        <v>0</v>
      </c>
      <c r="N13" s="16"/>
      <c r="O13" s="16">
        <f>IF(O12="&gt;",1,0)</f>
        <v>0</v>
      </c>
      <c r="P13" s="16"/>
      <c r="Q13" s="16">
        <f>IF(Q12="&gt;",1,0)</f>
        <v>0</v>
      </c>
      <c r="R13" s="16"/>
      <c r="S13" s="16">
        <f>IF(S12="&gt;",1,0)</f>
        <v>0</v>
      </c>
      <c r="T13" s="17"/>
    </row>
    <row r="14" spans="1:20" x14ac:dyDescent="0.25">
      <c r="A14" s="6"/>
      <c r="B14" s="6"/>
      <c r="C14" s="6"/>
      <c r="D14" s="6"/>
      <c r="E14" s="6"/>
      <c r="F14" s="6"/>
      <c r="G14" s="6"/>
      <c r="H14" s="6"/>
      <c r="I14" s="6"/>
      <c r="J14" s="6"/>
      <c r="K14" s="6"/>
      <c r="L14" s="6"/>
      <c r="M14" s="6"/>
      <c r="N14" s="6"/>
      <c r="O14" s="6"/>
      <c r="P14" s="6"/>
      <c r="Q14" s="6"/>
      <c r="R14" s="6"/>
      <c r="S14" s="6"/>
      <c r="T14" s="6"/>
    </row>
    <row r="15" spans="1:20" ht="15.75" thickBot="1" x14ac:dyDescent="0.3">
      <c r="A15" s="9" t="s">
        <v>97</v>
      </c>
      <c r="B15" s="6"/>
      <c r="C15" s="6"/>
      <c r="D15" s="6"/>
      <c r="E15" s="6"/>
      <c r="F15" s="6"/>
      <c r="G15" s="6"/>
      <c r="H15" s="6"/>
      <c r="I15" s="6"/>
      <c r="J15" s="6"/>
      <c r="K15" s="6"/>
      <c r="L15" s="6"/>
      <c r="M15" s="6"/>
      <c r="N15" s="6"/>
      <c r="O15" s="6"/>
      <c r="P15" s="6"/>
      <c r="Q15" s="6"/>
      <c r="R15" s="6"/>
      <c r="S15" s="6"/>
      <c r="T15" s="6"/>
    </row>
    <row r="16" spans="1:20" ht="123.75" thickBot="1" x14ac:dyDescent="0.3">
      <c r="A16" s="11" t="s">
        <v>98</v>
      </c>
      <c r="B16" s="18" t="s">
        <v>99</v>
      </c>
      <c r="C16" s="19" t="str">
        <f>B17</f>
        <v>Mass</v>
      </c>
      <c r="D16" s="19" t="str">
        <f>B18</f>
        <v>Cost</v>
      </c>
      <c r="E16" s="19" t="str">
        <f>B19</f>
        <v>Power</v>
      </c>
      <c r="F16" s="19" t="str">
        <f>B20</f>
        <v>Equilibrium temperature</v>
      </c>
      <c r="G16" s="19" t="str">
        <f>B21</f>
        <v>E</v>
      </c>
      <c r="H16" s="19" t="str">
        <f>B22</f>
        <v/>
      </c>
      <c r="I16" s="19" t="str">
        <f>B23</f>
        <v/>
      </c>
      <c r="J16" s="19" t="str">
        <f>B24</f>
        <v/>
      </c>
      <c r="K16" s="19" t="str">
        <f>B25</f>
        <v/>
      </c>
      <c r="L16" s="19" t="str">
        <f>B26</f>
        <v/>
      </c>
      <c r="M16" s="20" t="s">
        <v>100</v>
      </c>
      <c r="N16" s="21" t="s">
        <v>101</v>
      </c>
      <c r="O16" s="20"/>
      <c r="P16" s="21" t="s">
        <v>102</v>
      </c>
      <c r="Q16" s="6"/>
      <c r="R16" s="6"/>
      <c r="S16" s="6"/>
      <c r="T16" s="6"/>
    </row>
    <row r="17" spans="1:20" x14ac:dyDescent="0.25">
      <c r="A17" s="22">
        <v>1</v>
      </c>
      <c r="B17" s="23" t="str">
        <f>IF(B12="","",B12)</f>
        <v>Mass</v>
      </c>
      <c r="C17" s="24"/>
      <c r="D17" s="25">
        <f>IF(D16="",0,C13)</f>
        <v>1</v>
      </c>
      <c r="E17" s="25">
        <f>IF(E$16="",0,MAX(D17,E$13))</f>
        <v>1</v>
      </c>
      <c r="F17" s="25">
        <f>IF(F$16="",0,MAX(E17,G$13))</f>
        <v>1</v>
      </c>
      <c r="G17" s="25">
        <f>IF(F$16="",0,MAX(F17,I$13))</f>
        <v>1</v>
      </c>
      <c r="H17" s="25">
        <f>IF(H$16="",0,MAX(G17,K$13))</f>
        <v>0</v>
      </c>
      <c r="I17" s="25">
        <f>IF(I$16="",0,MAX(H17,M$13))</f>
        <v>0</v>
      </c>
      <c r="J17" s="25">
        <f>IF(J$16="",0,MAX(I17,O$13))</f>
        <v>0</v>
      </c>
      <c r="K17" s="25">
        <f>IF(K$16="",0,MAX(J17,Q$13))</f>
        <v>0</v>
      </c>
      <c r="L17" s="26">
        <f>IF(L$16="",0,MAX(K17,S$13))</f>
        <v>0</v>
      </c>
      <c r="M17" s="27">
        <f>IF(B17="","",SUM(C17:L17))</f>
        <v>4</v>
      </c>
      <c r="N17" s="28">
        <f>IF(B17="","",M17+ABS(MIN($M$17:$M$26))+1)</f>
        <v>7</v>
      </c>
      <c r="O17" s="27"/>
      <c r="P17" s="28">
        <f>IF(B17="","",N17/SUM($N$17:$N$26))</f>
        <v>0.46666666666666667</v>
      </c>
      <c r="Q17" s="6"/>
      <c r="R17" s="29"/>
      <c r="S17" s="6"/>
      <c r="T17" s="6"/>
    </row>
    <row r="18" spans="1:20" x14ac:dyDescent="0.25">
      <c r="A18" s="22">
        <v>2</v>
      </c>
      <c r="B18" s="23" t="str">
        <f>IF(D12="","",D12)</f>
        <v>Cost</v>
      </c>
      <c r="C18" s="30">
        <f>-D17</f>
        <v>-1</v>
      </c>
      <c r="D18" s="31"/>
      <c r="E18" s="32">
        <f>IF(E$16="",0,MAX(D18,E$13))</f>
        <v>1</v>
      </c>
      <c r="F18" s="32">
        <f t="shared" ref="F18:F19" si="0">IF(F$16="",0,MAX(E18,G$13))</f>
        <v>1</v>
      </c>
      <c r="G18" s="32">
        <f t="shared" ref="G18:G20" si="1">IF(F$16="",0,MAX(F18,I$13))</f>
        <v>1</v>
      </c>
      <c r="H18" s="32">
        <f t="shared" ref="H18:H21" si="2">IF(H$16="",0,MAX(G18,K$13))</f>
        <v>0</v>
      </c>
      <c r="I18" s="32">
        <f t="shared" ref="I18:I22" si="3">IF(I$16="",0,MAX(H18,M$13))</f>
        <v>0</v>
      </c>
      <c r="J18" s="32">
        <f t="shared" ref="J18:J23" si="4">IF(J$16="",0,MAX(I18,O$13))</f>
        <v>0</v>
      </c>
      <c r="K18" s="32">
        <f t="shared" ref="K18:K24" si="5">IF(K$16="",0,MAX(J18,Q$13))</f>
        <v>0</v>
      </c>
      <c r="L18" s="33">
        <f t="shared" ref="L18:L25" si="6">IF(L$16="",0,MAX(K18,S$13))</f>
        <v>0</v>
      </c>
      <c r="M18" s="34">
        <f t="shared" ref="M18:M26" si="7">IF(B18="","",SUM(C18:L18))</f>
        <v>2</v>
      </c>
      <c r="N18" s="35">
        <f t="shared" ref="N18:N26" si="8">IF(B18="","",M18+ABS(MIN($M$17:$M$26))+1)</f>
        <v>5</v>
      </c>
      <c r="O18" s="34"/>
      <c r="P18" s="35">
        <f t="shared" ref="P18:P26" si="9">IF(B18="","",N18/SUM($N$17:$N$26))</f>
        <v>0.33333333333333331</v>
      </c>
      <c r="Q18" s="6"/>
      <c r="R18" s="29"/>
      <c r="S18" s="6"/>
      <c r="T18" s="6"/>
    </row>
    <row r="19" spans="1:20" x14ac:dyDescent="0.25">
      <c r="A19" s="22">
        <v>3</v>
      </c>
      <c r="B19" s="23" t="str">
        <f>IF(F12="","",F12)</f>
        <v>Power</v>
      </c>
      <c r="C19" s="30">
        <f>-E17</f>
        <v>-1</v>
      </c>
      <c r="D19" s="32">
        <f>-E18</f>
        <v>-1</v>
      </c>
      <c r="E19" s="31"/>
      <c r="F19" s="32">
        <f t="shared" si="0"/>
        <v>0</v>
      </c>
      <c r="G19" s="32">
        <f t="shared" si="1"/>
        <v>0</v>
      </c>
      <c r="H19" s="32">
        <f t="shared" si="2"/>
        <v>0</v>
      </c>
      <c r="I19" s="32">
        <f t="shared" si="3"/>
        <v>0</v>
      </c>
      <c r="J19" s="32">
        <f t="shared" si="4"/>
        <v>0</v>
      </c>
      <c r="K19" s="32">
        <f t="shared" si="5"/>
        <v>0</v>
      </c>
      <c r="L19" s="33">
        <f t="shared" si="6"/>
        <v>0</v>
      </c>
      <c r="M19" s="34">
        <f t="shared" si="7"/>
        <v>-2</v>
      </c>
      <c r="N19" s="35">
        <f t="shared" si="8"/>
        <v>1</v>
      </c>
      <c r="O19" s="34"/>
      <c r="P19" s="35">
        <f t="shared" si="9"/>
        <v>6.6666666666666666E-2</v>
      </c>
      <c r="Q19" s="6"/>
      <c r="R19" s="29"/>
      <c r="S19" s="6"/>
      <c r="T19" s="6"/>
    </row>
    <row r="20" spans="1:20" x14ac:dyDescent="0.25">
      <c r="A20" s="22">
        <v>4</v>
      </c>
      <c r="B20" s="23" t="str">
        <f>IF(H12="","",H12)</f>
        <v>Equilibrium temperature</v>
      </c>
      <c r="C20" s="30">
        <f>-F17</f>
        <v>-1</v>
      </c>
      <c r="D20" s="32">
        <f>-F18</f>
        <v>-1</v>
      </c>
      <c r="E20" s="32">
        <f>-F19</f>
        <v>0</v>
      </c>
      <c r="F20" s="31"/>
      <c r="G20" s="32">
        <f t="shared" si="1"/>
        <v>0</v>
      </c>
      <c r="H20" s="32">
        <f t="shared" si="2"/>
        <v>0</v>
      </c>
      <c r="I20" s="32">
        <f t="shared" si="3"/>
        <v>0</v>
      </c>
      <c r="J20" s="32">
        <f t="shared" si="4"/>
        <v>0</v>
      </c>
      <c r="K20" s="32">
        <f t="shared" si="5"/>
        <v>0</v>
      </c>
      <c r="L20" s="33">
        <f t="shared" si="6"/>
        <v>0</v>
      </c>
      <c r="M20" s="34">
        <f t="shared" si="7"/>
        <v>-2</v>
      </c>
      <c r="N20" s="35">
        <f t="shared" si="8"/>
        <v>1</v>
      </c>
      <c r="O20" s="34"/>
      <c r="P20" s="35">
        <f t="shared" si="9"/>
        <v>6.6666666666666666E-2</v>
      </c>
      <c r="Q20" s="6"/>
      <c r="R20" s="29"/>
      <c r="S20" s="6"/>
      <c r="T20" s="6"/>
    </row>
    <row r="21" spans="1:20" x14ac:dyDescent="0.25">
      <c r="A21" s="22">
        <v>5</v>
      </c>
      <c r="B21" s="23" t="str">
        <f>IF(J12="","",J12)</f>
        <v>E</v>
      </c>
      <c r="C21" s="30">
        <f>-G17</f>
        <v>-1</v>
      </c>
      <c r="D21" s="32">
        <f>-G18</f>
        <v>-1</v>
      </c>
      <c r="E21" s="32">
        <f>-G19</f>
        <v>0</v>
      </c>
      <c r="F21" s="32">
        <f>-G20</f>
        <v>0</v>
      </c>
      <c r="G21" s="31"/>
      <c r="H21" s="32">
        <f t="shared" si="2"/>
        <v>0</v>
      </c>
      <c r="I21" s="32">
        <f t="shared" si="3"/>
        <v>0</v>
      </c>
      <c r="J21" s="32">
        <f t="shared" si="4"/>
        <v>0</v>
      </c>
      <c r="K21" s="32">
        <f t="shared" si="5"/>
        <v>0</v>
      </c>
      <c r="L21" s="33">
        <f t="shared" si="6"/>
        <v>0</v>
      </c>
      <c r="M21" s="34">
        <f t="shared" si="7"/>
        <v>-2</v>
      </c>
      <c r="N21" s="35">
        <f t="shared" si="8"/>
        <v>1</v>
      </c>
      <c r="O21" s="34"/>
      <c r="P21" s="35">
        <f t="shared" si="9"/>
        <v>6.6666666666666666E-2</v>
      </c>
      <c r="Q21" s="6"/>
      <c r="R21" s="29"/>
      <c r="S21" s="6"/>
      <c r="T21" s="6"/>
    </row>
    <row r="22" spans="1:20" x14ac:dyDescent="0.25">
      <c r="A22" s="22">
        <v>6</v>
      </c>
      <c r="B22" s="23" t="str">
        <f>IF(L12="","",L12)</f>
        <v/>
      </c>
      <c r="C22" s="30">
        <f>-H17</f>
        <v>0</v>
      </c>
      <c r="D22" s="32">
        <f>-H18</f>
        <v>0</v>
      </c>
      <c r="E22" s="32">
        <f>-H19</f>
        <v>0</v>
      </c>
      <c r="F22" s="32">
        <f>-H20</f>
        <v>0</v>
      </c>
      <c r="G22" s="32">
        <f>-H21</f>
        <v>0</v>
      </c>
      <c r="H22" s="31"/>
      <c r="I22" s="32">
        <f t="shared" si="3"/>
        <v>0</v>
      </c>
      <c r="J22" s="32">
        <f t="shared" si="4"/>
        <v>0</v>
      </c>
      <c r="K22" s="32">
        <f t="shared" si="5"/>
        <v>0</v>
      </c>
      <c r="L22" s="33">
        <f t="shared" si="6"/>
        <v>0</v>
      </c>
      <c r="M22" s="34" t="str">
        <f t="shared" si="7"/>
        <v/>
      </c>
      <c r="N22" s="35" t="str">
        <f>IF(B22="","",M22+ABS(MIN($M$17:$M$26))+1)</f>
        <v/>
      </c>
      <c r="O22" s="34"/>
      <c r="P22" s="35" t="str">
        <f t="shared" si="9"/>
        <v/>
      </c>
      <c r="Q22" s="6"/>
      <c r="R22" s="29"/>
      <c r="S22" s="6"/>
      <c r="T22" s="6"/>
    </row>
    <row r="23" spans="1:20" x14ac:dyDescent="0.25">
      <c r="A23" s="22">
        <v>7</v>
      </c>
      <c r="B23" s="23" t="str">
        <f>IF(N12="","",N12)</f>
        <v/>
      </c>
      <c r="C23" s="30">
        <f>-I17</f>
        <v>0</v>
      </c>
      <c r="D23" s="32">
        <f>-I18</f>
        <v>0</v>
      </c>
      <c r="E23" s="32">
        <f>-I19</f>
        <v>0</v>
      </c>
      <c r="F23" s="32">
        <f>-I20</f>
        <v>0</v>
      </c>
      <c r="G23" s="32">
        <f>-I21</f>
        <v>0</v>
      </c>
      <c r="H23" s="32">
        <f>-I22</f>
        <v>0</v>
      </c>
      <c r="I23" s="31"/>
      <c r="J23" s="32">
        <f t="shared" si="4"/>
        <v>0</v>
      </c>
      <c r="K23" s="32">
        <f t="shared" si="5"/>
        <v>0</v>
      </c>
      <c r="L23" s="33">
        <f t="shared" si="6"/>
        <v>0</v>
      </c>
      <c r="M23" s="34" t="str">
        <f t="shared" si="7"/>
        <v/>
      </c>
      <c r="N23" s="35" t="str">
        <f t="shared" si="8"/>
        <v/>
      </c>
      <c r="O23" s="34"/>
      <c r="P23" s="35" t="str">
        <f t="shared" si="9"/>
        <v/>
      </c>
      <c r="Q23" s="6"/>
      <c r="R23" s="29"/>
      <c r="S23" s="6"/>
      <c r="T23" s="6"/>
    </row>
    <row r="24" spans="1:20" x14ac:dyDescent="0.25">
      <c r="A24" s="22">
        <v>8</v>
      </c>
      <c r="B24" s="23" t="str">
        <f>IF(P12="","",P12)</f>
        <v/>
      </c>
      <c r="C24" s="30">
        <f>-J17</f>
        <v>0</v>
      </c>
      <c r="D24" s="32">
        <f>-J18</f>
        <v>0</v>
      </c>
      <c r="E24" s="32">
        <f>-J19</f>
        <v>0</v>
      </c>
      <c r="F24" s="32">
        <f>-J20</f>
        <v>0</v>
      </c>
      <c r="G24" s="32">
        <f>-J21</f>
        <v>0</v>
      </c>
      <c r="H24" s="32">
        <f>-J22</f>
        <v>0</v>
      </c>
      <c r="I24" s="32">
        <f>-J23</f>
        <v>0</v>
      </c>
      <c r="J24" s="31"/>
      <c r="K24" s="32">
        <f t="shared" si="5"/>
        <v>0</v>
      </c>
      <c r="L24" s="33">
        <f t="shared" si="6"/>
        <v>0</v>
      </c>
      <c r="M24" s="34" t="str">
        <f t="shared" si="7"/>
        <v/>
      </c>
      <c r="N24" s="35" t="str">
        <f t="shared" si="8"/>
        <v/>
      </c>
      <c r="O24" s="34"/>
      <c r="P24" s="35" t="str">
        <f t="shared" si="9"/>
        <v/>
      </c>
      <c r="Q24" s="6"/>
      <c r="R24" s="29"/>
      <c r="S24" s="6"/>
      <c r="T24" s="6"/>
    </row>
    <row r="25" spans="1:20" x14ac:dyDescent="0.25">
      <c r="A25" s="22">
        <v>9</v>
      </c>
      <c r="B25" s="23" t="str">
        <f>IF(R12="","",R12)</f>
        <v/>
      </c>
      <c r="C25" s="30">
        <f>-K17</f>
        <v>0</v>
      </c>
      <c r="D25" s="32">
        <f>-K18</f>
        <v>0</v>
      </c>
      <c r="E25" s="32">
        <f>-K19</f>
        <v>0</v>
      </c>
      <c r="F25" s="32">
        <f>-K20</f>
        <v>0</v>
      </c>
      <c r="G25" s="32">
        <f>-K21</f>
        <v>0</v>
      </c>
      <c r="H25" s="32">
        <f>-K22</f>
        <v>0</v>
      </c>
      <c r="I25" s="32">
        <f>-K23</f>
        <v>0</v>
      </c>
      <c r="J25" s="32">
        <f>-K24</f>
        <v>0</v>
      </c>
      <c r="K25" s="31"/>
      <c r="L25" s="33">
        <f t="shared" si="6"/>
        <v>0</v>
      </c>
      <c r="M25" s="34" t="str">
        <f t="shared" si="7"/>
        <v/>
      </c>
      <c r="N25" s="35" t="str">
        <f t="shared" si="8"/>
        <v/>
      </c>
      <c r="O25" s="34"/>
      <c r="P25" s="35" t="str">
        <f t="shared" si="9"/>
        <v/>
      </c>
      <c r="Q25" s="6"/>
      <c r="R25" s="29"/>
      <c r="S25" s="6"/>
      <c r="T25" s="6"/>
    </row>
    <row r="26" spans="1:20" ht="15.75" thickBot="1" x14ac:dyDescent="0.3">
      <c r="A26" s="36">
        <v>10</v>
      </c>
      <c r="B26" s="37" t="str">
        <f>IF(T12="","",T12)</f>
        <v/>
      </c>
      <c r="C26" s="38">
        <f>-L17</f>
        <v>0</v>
      </c>
      <c r="D26" s="39">
        <f>-L18</f>
        <v>0</v>
      </c>
      <c r="E26" s="39">
        <f>-L19</f>
        <v>0</v>
      </c>
      <c r="F26" s="39">
        <f>-L20</f>
        <v>0</v>
      </c>
      <c r="G26" s="39">
        <f>-L21</f>
        <v>0</v>
      </c>
      <c r="H26" s="39">
        <f>-L22</f>
        <v>0</v>
      </c>
      <c r="I26" s="39">
        <f>-L23</f>
        <v>0</v>
      </c>
      <c r="J26" s="39">
        <f>-L24</f>
        <v>0</v>
      </c>
      <c r="K26" s="39">
        <f>-L25</f>
        <v>0</v>
      </c>
      <c r="L26" s="40"/>
      <c r="M26" s="41" t="str">
        <f t="shared" si="7"/>
        <v/>
      </c>
      <c r="N26" s="42" t="str">
        <f t="shared" si="8"/>
        <v/>
      </c>
      <c r="O26" s="41"/>
      <c r="P26" s="42" t="str">
        <f t="shared" si="9"/>
        <v/>
      </c>
      <c r="Q26" s="6"/>
      <c r="R26" s="29"/>
      <c r="S26" s="6"/>
      <c r="T26" s="29"/>
    </row>
    <row r="27" spans="1:20" x14ac:dyDescent="0.25">
      <c r="A27" s="6"/>
      <c r="B27" s="6"/>
      <c r="C27" s="6"/>
      <c r="D27" s="6"/>
      <c r="E27" s="6"/>
      <c r="F27" s="6"/>
      <c r="G27" s="6"/>
      <c r="H27" s="6"/>
      <c r="I27" s="6"/>
      <c r="J27" s="6"/>
      <c r="K27" s="6"/>
      <c r="L27" s="6"/>
      <c r="M27" s="6"/>
      <c r="N27" s="6"/>
      <c r="O27" s="6"/>
      <c r="P27" s="6"/>
      <c r="Q27" s="6"/>
      <c r="R27" s="6"/>
      <c r="S27" s="6"/>
      <c r="T27" s="6"/>
    </row>
    <row r="28" spans="1:20" x14ac:dyDescent="0.25">
      <c r="A28" s="6"/>
      <c r="B28" s="6"/>
      <c r="C28" s="6"/>
      <c r="D28" s="6"/>
      <c r="E28" s="6"/>
      <c r="F28" s="6"/>
      <c r="G28" s="6"/>
      <c r="H28" s="6"/>
      <c r="I28" s="6"/>
      <c r="J28" s="6"/>
      <c r="K28" s="6"/>
      <c r="L28" s="6"/>
      <c r="M28" s="6"/>
      <c r="N28" s="6"/>
      <c r="O28" s="6"/>
      <c r="P28" s="29"/>
      <c r="Q28" s="29"/>
      <c r="R28" s="6"/>
      <c r="S28" s="6"/>
      <c r="T28" s="6"/>
    </row>
    <row r="29" spans="1:20" ht="15.75" thickBot="1" x14ac:dyDescent="0.3">
      <c r="A29" s="9" t="s">
        <v>103</v>
      </c>
      <c r="B29" s="6"/>
      <c r="C29" s="6"/>
      <c r="D29" s="6"/>
      <c r="E29" s="6"/>
      <c r="F29" s="6"/>
      <c r="G29" s="6"/>
      <c r="H29" s="6"/>
      <c r="I29" s="6"/>
      <c r="J29" s="6"/>
      <c r="K29" s="6"/>
      <c r="L29" s="6"/>
      <c r="M29" s="6"/>
      <c r="N29" s="6"/>
      <c r="O29" s="6"/>
      <c r="P29" s="6"/>
      <c r="Q29" s="6"/>
      <c r="R29" s="6"/>
      <c r="S29" s="6"/>
      <c r="T29" s="6"/>
    </row>
    <row r="30" spans="1:20" ht="51" thickBot="1" x14ac:dyDescent="0.3">
      <c r="A30" s="211" t="s">
        <v>65</v>
      </c>
      <c r="B30" s="213" t="s">
        <v>104</v>
      </c>
      <c r="C30" s="43" t="s">
        <v>105</v>
      </c>
      <c r="D30" s="44" t="s">
        <v>106</v>
      </c>
      <c r="E30" s="44" t="s">
        <v>107</v>
      </c>
      <c r="F30" s="44" t="s">
        <v>108</v>
      </c>
      <c r="G30" s="44" t="s">
        <v>109</v>
      </c>
      <c r="H30" s="44" t="s">
        <v>110</v>
      </c>
      <c r="I30" s="44" t="s">
        <v>111</v>
      </c>
      <c r="J30" s="44" t="s">
        <v>112</v>
      </c>
      <c r="K30" s="44" t="s">
        <v>113</v>
      </c>
      <c r="L30" s="44" t="s">
        <v>114</v>
      </c>
      <c r="M30" s="44" t="s">
        <v>115</v>
      </c>
      <c r="N30" s="44" t="s">
        <v>116</v>
      </c>
      <c r="O30" s="44" t="s">
        <v>117</v>
      </c>
      <c r="P30" s="44" t="s">
        <v>118</v>
      </c>
      <c r="Q30" s="44" t="s">
        <v>119</v>
      </c>
      <c r="R30" s="215" t="s">
        <v>120</v>
      </c>
      <c r="S30" s="6"/>
      <c r="T30" s="6"/>
    </row>
    <row r="31" spans="1:20" ht="37.5" thickBot="1" x14ac:dyDescent="0.3">
      <c r="A31" s="212"/>
      <c r="B31" s="214"/>
      <c r="C31" s="45" t="s">
        <v>121</v>
      </c>
      <c r="D31" s="46" t="s">
        <v>122</v>
      </c>
      <c r="E31" s="46" t="s">
        <v>123</v>
      </c>
      <c r="F31" s="46" t="s">
        <v>124</v>
      </c>
      <c r="G31" s="46" t="s">
        <v>125</v>
      </c>
      <c r="H31" s="46" t="s">
        <v>126</v>
      </c>
      <c r="I31" s="46" t="s">
        <v>127</v>
      </c>
      <c r="J31" s="46" t="s">
        <v>128</v>
      </c>
      <c r="K31" s="46" t="s">
        <v>129</v>
      </c>
      <c r="L31" s="46" t="s">
        <v>130</v>
      </c>
      <c r="M31" s="46" t="s">
        <v>131</v>
      </c>
      <c r="N31" s="46" t="s">
        <v>132</v>
      </c>
      <c r="O31" s="46" t="s">
        <v>133</v>
      </c>
      <c r="P31" s="46" t="s">
        <v>134</v>
      </c>
      <c r="Q31" s="47" t="s">
        <v>135</v>
      </c>
      <c r="R31" s="216"/>
      <c r="S31" s="6"/>
      <c r="T31" s="6"/>
    </row>
    <row r="32" spans="1:20" ht="15" customHeight="1" x14ac:dyDescent="0.25">
      <c r="A32" s="217" t="s">
        <v>99</v>
      </c>
      <c r="B32" s="22" t="str">
        <f>B17</f>
        <v>Mass</v>
      </c>
      <c r="C32" s="48">
        <v>3</v>
      </c>
      <c r="D32" s="49">
        <v>3</v>
      </c>
      <c r="E32" s="49">
        <v>3</v>
      </c>
      <c r="F32" s="49"/>
      <c r="G32" s="49"/>
      <c r="H32" s="49"/>
      <c r="I32" s="49"/>
      <c r="J32" s="49"/>
      <c r="K32" s="49"/>
      <c r="L32" s="49"/>
      <c r="M32" s="49"/>
      <c r="N32" s="49"/>
      <c r="O32" s="49"/>
      <c r="P32" s="49"/>
      <c r="Q32" s="50"/>
      <c r="R32" s="28">
        <f>IF(B17="",0,P17)</f>
        <v>0.46666666666666667</v>
      </c>
      <c r="S32" s="6"/>
      <c r="T32" s="6"/>
    </row>
    <row r="33" spans="1:28" x14ac:dyDescent="0.25">
      <c r="A33" s="218"/>
      <c r="B33" s="22" t="str">
        <f t="shared" ref="B33:B41" si="10">B18</f>
        <v>Cost</v>
      </c>
      <c r="C33" s="51">
        <v>5</v>
      </c>
      <c r="D33" s="52">
        <v>7</v>
      </c>
      <c r="E33" s="52">
        <v>4</v>
      </c>
      <c r="F33" s="52"/>
      <c r="G33" s="52"/>
      <c r="H33" s="52"/>
      <c r="I33" s="52"/>
      <c r="J33" s="52"/>
      <c r="K33" s="52"/>
      <c r="L33" s="52"/>
      <c r="M33" s="52"/>
      <c r="N33" s="52"/>
      <c r="O33" s="52"/>
      <c r="P33" s="52"/>
      <c r="Q33" s="53"/>
      <c r="R33" s="35">
        <f t="shared" ref="R33:R41" si="11">IF(B18="",0,P18)</f>
        <v>0.33333333333333331</v>
      </c>
      <c r="S33" s="6"/>
      <c r="T33" s="6"/>
    </row>
    <row r="34" spans="1:28" x14ac:dyDescent="0.25">
      <c r="A34" s="218"/>
      <c r="B34" s="22" t="str">
        <f t="shared" si="10"/>
        <v>Power</v>
      </c>
      <c r="C34" s="51">
        <v>8</v>
      </c>
      <c r="D34" s="52">
        <v>5</v>
      </c>
      <c r="E34" s="52">
        <v>2</v>
      </c>
      <c r="F34" s="52"/>
      <c r="G34" s="52"/>
      <c r="H34" s="52"/>
      <c r="I34" s="52"/>
      <c r="J34" s="52"/>
      <c r="K34" s="52"/>
      <c r="L34" s="52"/>
      <c r="M34" s="52"/>
      <c r="N34" s="52"/>
      <c r="O34" s="52"/>
      <c r="P34" s="52"/>
      <c r="Q34" s="53"/>
      <c r="R34" s="35">
        <f t="shared" si="11"/>
        <v>6.6666666666666666E-2</v>
      </c>
      <c r="S34" s="6"/>
      <c r="T34" s="6"/>
    </row>
    <row r="35" spans="1:28" x14ac:dyDescent="0.25">
      <c r="A35" s="218"/>
      <c r="B35" s="22" t="str">
        <f t="shared" si="10"/>
        <v>Equilibrium temperature</v>
      </c>
      <c r="C35" s="51">
        <v>4</v>
      </c>
      <c r="D35" s="52">
        <v>3</v>
      </c>
      <c r="E35" s="52">
        <v>1</v>
      </c>
      <c r="F35" s="52"/>
      <c r="G35" s="52"/>
      <c r="H35" s="52"/>
      <c r="I35" s="52"/>
      <c r="J35" s="52"/>
      <c r="K35" s="52"/>
      <c r="L35" s="52"/>
      <c r="M35" s="52"/>
      <c r="N35" s="52"/>
      <c r="O35" s="52"/>
      <c r="P35" s="52"/>
      <c r="Q35" s="53"/>
      <c r="R35" s="35">
        <f t="shared" si="11"/>
        <v>6.6666666666666666E-2</v>
      </c>
      <c r="S35" s="6"/>
      <c r="T35" s="6"/>
    </row>
    <row r="36" spans="1:28" x14ac:dyDescent="0.25">
      <c r="A36" s="218"/>
      <c r="B36" s="22" t="str">
        <f t="shared" si="10"/>
        <v>E</v>
      </c>
      <c r="C36" s="51"/>
      <c r="D36" s="52"/>
      <c r="E36" s="52"/>
      <c r="F36" s="52"/>
      <c r="G36" s="52"/>
      <c r="H36" s="52"/>
      <c r="I36" s="52"/>
      <c r="J36" s="52"/>
      <c r="K36" s="52"/>
      <c r="L36" s="52"/>
      <c r="M36" s="52"/>
      <c r="N36" s="52"/>
      <c r="O36" s="52"/>
      <c r="P36" s="52"/>
      <c r="Q36" s="53"/>
      <c r="R36" s="35">
        <f t="shared" si="11"/>
        <v>6.6666666666666666E-2</v>
      </c>
      <c r="S36" s="6"/>
      <c r="T36" s="6"/>
    </row>
    <row r="37" spans="1:28" x14ac:dyDescent="0.25">
      <c r="A37" s="218"/>
      <c r="B37" s="22" t="str">
        <f t="shared" si="10"/>
        <v/>
      </c>
      <c r="C37" s="51"/>
      <c r="D37" s="52"/>
      <c r="E37" s="52"/>
      <c r="F37" s="52"/>
      <c r="G37" s="52"/>
      <c r="H37" s="52"/>
      <c r="I37" s="52"/>
      <c r="J37" s="52"/>
      <c r="K37" s="52"/>
      <c r="L37" s="52"/>
      <c r="M37" s="52"/>
      <c r="N37" s="52"/>
      <c r="O37" s="52"/>
      <c r="P37" s="52"/>
      <c r="Q37" s="53"/>
      <c r="R37" s="35">
        <f t="shared" si="11"/>
        <v>0</v>
      </c>
      <c r="S37" s="6"/>
      <c r="T37" s="6"/>
    </row>
    <row r="38" spans="1:28" x14ac:dyDescent="0.25">
      <c r="A38" s="218"/>
      <c r="B38" s="22" t="str">
        <f t="shared" si="10"/>
        <v/>
      </c>
      <c r="C38" s="51"/>
      <c r="D38" s="52"/>
      <c r="E38" s="52"/>
      <c r="F38" s="55"/>
      <c r="G38" s="52"/>
      <c r="H38" s="52"/>
      <c r="I38" s="52"/>
      <c r="J38" s="52"/>
      <c r="K38" s="52"/>
      <c r="L38" s="52"/>
      <c r="M38" s="52"/>
      <c r="N38" s="52"/>
      <c r="O38" s="52"/>
      <c r="P38" s="52"/>
      <c r="Q38" s="53"/>
      <c r="R38" s="35">
        <f t="shared" si="11"/>
        <v>0</v>
      </c>
      <c r="S38" s="6"/>
      <c r="T38" s="6"/>
    </row>
    <row r="39" spans="1:28" x14ac:dyDescent="0.25">
      <c r="A39" s="218"/>
      <c r="B39" s="22" t="str">
        <f t="shared" si="10"/>
        <v/>
      </c>
      <c r="C39" s="51"/>
      <c r="D39" s="52"/>
      <c r="E39" s="52"/>
      <c r="F39" s="52"/>
      <c r="G39" s="52"/>
      <c r="H39" s="52"/>
      <c r="I39" s="52"/>
      <c r="J39" s="52"/>
      <c r="K39" s="52"/>
      <c r="L39" s="52"/>
      <c r="M39" s="52"/>
      <c r="N39" s="52"/>
      <c r="O39" s="52"/>
      <c r="P39" s="52"/>
      <c r="Q39" s="53"/>
      <c r="R39" s="35">
        <f t="shared" si="11"/>
        <v>0</v>
      </c>
      <c r="S39" s="6"/>
      <c r="T39" s="6"/>
    </row>
    <row r="40" spans="1:28" x14ac:dyDescent="0.25">
      <c r="A40" s="218"/>
      <c r="B40" s="22" t="str">
        <f t="shared" si="10"/>
        <v/>
      </c>
      <c r="C40" s="51"/>
      <c r="D40" s="52"/>
      <c r="E40" s="52"/>
      <c r="F40" s="52"/>
      <c r="G40" s="52"/>
      <c r="H40" s="52"/>
      <c r="I40" s="52"/>
      <c r="J40" s="52"/>
      <c r="K40" s="52"/>
      <c r="L40" s="52"/>
      <c r="M40" s="52"/>
      <c r="N40" s="52"/>
      <c r="O40" s="52"/>
      <c r="P40" s="52"/>
      <c r="Q40" s="53"/>
      <c r="R40" s="35">
        <f t="shared" si="11"/>
        <v>0</v>
      </c>
      <c r="S40" s="6"/>
      <c r="T40" s="6"/>
    </row>
    <row r="41" spans="1:28" ht="15.75" thickBot="1" x14ac:dyDescent="0.3">
      <c r="A41" s="219"/>
      <c r="B41" s="22" t="str">
        <f t="shared" si="10"/>
        <v/>
      </c>
      <c r="C41" s="56"/>
      <c r="D41" s="57"/>
      <c r="E41" s="57"/>
      <c r="F41" s="57"/>
      <c r="G41" s="57"/>
      <c r="H41" s="57"/>
      <c r="I41" s="57"/>
      <c r="J41" s="57"/>
      <c r="K41" s="57"/>
      <c r="L41" s="57"/>
      <c r="M41" s="57"/>
      <c r="N41" s="57"/>
      <c r="O41" s="57"/>
      <c r="P41" s="57"/>
      <c r="Q41" s="58"/>
      <c r="R41" s="42">
        <f t="shared" si="11"/>
        <v>0</v>
      </c>
      <c r="S41" s="6"/>
      <c r="T41" s="6"/>
    </row>
    <row r="42" spans="1:28" ht="15.75" thickBot="1" x14ac:dyDescent="0.3">
      <c r="A42" s="22"/>
      <c r="B42" s="59" t="s">
        <v>100</v>
      </c>
      <c r="C42" s="60">
        <f>C32*$R32+C33*$R33+C34*$R34+C35*$R35+C36*$R36+C37*$R37+C38*$R38+C39*$R39+C40*$R40+C41*$R41</f>
        <v>3.8666666666666663</v>
      </c>
      <c r="D42" s="61">
        <f t="shared" ref="D42:Q42" si="12">D32*$R32+D33*$R33+D34*$R34+D35*$R35+D36*$R36+D37*$R37+D38*$R38+D39*$R39+D40*$R40+D41*$R41</f>
        <v>4.2666666666666666</v>
      </c>
      <c r="E42" s="61">
        <f t="shared" si="12"/>
        <v>2.9333333333333336</v>
      </c>
      <c r="F42" s="61">
        <f t="shared" si="12"/>
        <v>0</v>
      </c>
      <c r="G42" s="61">
        <f t="shared" si="12"/>
        <v>0</v>
      </c>
      <c r="H42" s="61">
        <f t="shared" si="12"/>
        <v>0</v>
      </c>
      <c r="I42" s="61">
        <f t="shared" si="12"/>
        <v>0</v>
      </c>
      <c r="J42" s="61">
        <f t="shared" si="12"/>
        <v>0</v>
      </c>
      <c r="K42" s="61">
        <f t="shared" si="12"/>
        <v>0</v>
      </c>
      <c r="L42" s="61">
        <f t="shared" si="12"/>
        <v>0</v>
      </c>
      <c r="M42" s="61">
        <f t="shared" si="12"/>
        <v>0</v>
      </c>
      <c r="N42" s="61">
        <f t="shared" si="12"/>
        <v>0</v>
      </c>
      <c r="O42" s="61">
        <f t="shared" si="12"/>
        <v>0</v>
      </c>
      <c r="P42" s="61">
        <f t="shared" si="12"/>
        <v>0</v>
      </c>
      <c r="Q42" s="62">
        <f t="shared" si="12"/>
        <v>0</v>
      </c>
      <c r="R42" s="63"/>
      <c r="S42" s="6"/>
      <c r="T42" s="6"/>
    </row>
    <row r="43" spans="1:28" ht="15.75" thickBot="1" x14ac:dyDescent="0.3">
      <c r="A43" s="36"/>
      <c r="B43" s="64" t="s">
        <v>136</v>
      </c>
      <c r="C43" s="65">
        <f>RANK(C42,$C42:$Q42)</f>
        <v>2</v>
      </c>
      <c r="D43" s="66">
        <f t="shared" ref="D43:Q43" si="13">RANK(D42,$C42:$Q42)</f>
        <v>1</v>
      </c>
      <c r="E43" s="66">
        <f t="shared" si="13"/>
        <v>3</v>
      </c>
      <c r="F43" s="66">
        <f t="shared" si="13"/>
        <v>4</v>
      </c>
      <c r="G43" s="66">
        <f t="shared" si="13"/>
        <v>4</v>
      </c>
      <c r="H43" s="66">
        <f t="shared" si="13"/>
        <v>4</v>
      </c>
      <c r="I43" s="66">
        <f t="shared" si="13"/>
        <v>4</v>
      </c>
      <c r="J43" s="66">
        <f t="shared" si="13"/>
        <v>4</v>
      </c>
      <c r="K43" s="66">
        <f t="shared" si="13"/>
        <v>4</v>
      </c>
      <c r="L43" s="66">
        <f t="shared" si="13"/>
        <v>4</v>
      </c>
      <c r="M43" s="66">
        <f t="shared" si="13"/>
        <v>4</v>
      </c>
      <c r="N43" s="66">
        <f t="shared" si="13"/>
        <v>4</v>
      </c>
      <c r="O43" s="66">
        <f t="shared" si="13"/>
        <v>4</v>
      </c>
      <c r="P43" s="66">
        <f t="shared" si="13"/>
        <v>4</v>
      </c>
      <c r="Q43" s="67">
        <f t="shared" si="13"/>
        <v>4</v>
      </c>
      <c r="R43" s="68"/>
      <c r="S43" s="6"/>
      <c r="T43" s="6"/>
    </row>
    <row r="44" spans="1:28" x14ac:dyDescent="0.25">
      <c r="A44" s="6"/>
      <c r="B44" s="6"/>
      <c r="C44" s="6"/>
      <c r="D44" s="6"/>
      <c r="E44" s="6"/>
      <c r="F44" s="6"/>
      <c r="G44" s="6"/>
      <c r="H44" s="6"/>
      <c r="I44" s="6"/>
      <c r="J44" s="6"/>
      <c r="K44" s="6"/>
      <c r="L44" s="6"/>
      <c r="M44" s="6"/>
      <c r="N44" s="6"/>
      <c r="O44" s="6"/>
      <c r="P44" s="6"/>
      <c r="Q44" s="6"/>
      <c r="R44" s="6"/>
      <c r="S44" s="6"/>
      <c r="T44" s="6"/>
    </row>
    <row r="45" spans="1:28" ht="15.75" thickBot="1" x14ac:dyDescent="0.3">
      <c r="A45" s="6"/>
      <c r="B45" s="6"/>
      <c r="C45" s="6"/>
      <c r="D45" s="6"/>
      <c r="E45" s="6"/>
      <c r="F45" s="6"/>
      <c r="G45" s="6"/>
      <c r="H45" s="6"/>
      <c r="I45" s="6"/>
      <c r="J45" s="6"/>
      <c r="K45" s="6"/>
      <c r="L45" s="6"/>
      <c r="M45" s="6"/>
      <c r="N45" s="6"/>
      <c r="O45" s="6"/>
      <c r="P45" s="6"/>
      <c r="Q45" s="6"/>
      <c r="R45" s="6"/>
      <c r="S45" s="6"/>
      <c r="T45" s="6"/>
    </row>
    <row r="46" spans="1:28" x14ac:dyDescent="0.25">
      <c r="A46" s="6"/>
      <c r="B46" s="6"/>
      <c r="C46" s="6"/>
      <c r="D46" s="6"/>
      <c r="E46" s="6"/>
      <c r="F46" s="6"/>
      <c r="G46" s="6"/>
      <c r="H46" s="6"/>
      <c r="I46" s="6"/>
      <c r="J46" s="6"/>
      <c r="K46" s="6"/>
      <c r="L46" s="6"/>
      <c r="M46" s="6"/>
      <c r="N46" s="6"/>
      <c r="O46" s="6"/>
      <c r="P46" s="6"/>
      <c r="Q46" s="6"/>
      <c r="R46" s="6"/>
      <c r="S46" s="6"/>
      <c r="T46" s="69" t="s">
        <v>137</v>
      </c>
      <c r="U46" s="70"/>
      <c r="V46" s="70"/>
      <c r="W46" s="70"/>
      <c r="X46" s="70"/>
      <c r="Y46" s="70"/>
      <c r="Z46" s="70"/>
      <c r="AA46" s="70"/>
      <c r="AB46" s="71"/>
    </row>
    <row r="47" spans="1:28" x14ac:dyDescent="0.25">
      <c r="A47" s="6"/>
      <c r="B47" s="6"/>
      <c r="C47" s="6"/>
      <c r="D47" s="6"/>
      <c r="E47" s="6"/>
      <c r="F47" s="6"/>
      <c r="G47" s="6"/>
      <c r="H47" s="6"/>
      <c r="I47" s="6"/>
      <c r="J47" s="6"/>
      <c r="K47" s="6"/>
      <c r="L47" s="6"/>
      <c r="M47" s="6"/>
      <c r="N47" s="6"/>
      <c r="O47" s="6"/>
      <c r="P47" s="6"/>
      <c r="Q47" s="6"/>
      <c r="R47" s="6"/>
      <c r="S47" s="6"/>
      <c r="T47" s="72" t="s">
        <v>138</v>
      </c>
      <c r="AB47" s="73"/>
    </row>
    <row r="48" spans="1:28" x14ac:dyDescent="0.25">
      <c r="A48" s="6"/>
      <c r="B48" s="6"/>
      <c r="C48" s="6"/>
      <c r="D48" s="6"/>
      <c r="E48" s="6"/>
      <c r="F48" s="6"/>
      <c r="G48" s="6"/>
      <c r="H48" s="6"/>
      <c r="I48" s="6"/>
      <c r="J48" s="6"/>
      <c r="K48" s="6"/>
      <c r="L48" s="6"/>
      <c r="M48" s="6"/>
      <c r="N48" s="6"/>
      <c r="O48" s="6"/>
      <c r="P48" s="6"/>
      <c r="Q48" s="6"/>
      <c r="R48" s="6"/>
      <c r="S48" s="6"/>
      <c r="T48" s="72" t="s">
        <v>139</v>
      </c>
      <c r="AB48" s="73"/>
    </row>
    <row r="49" spans="1:28" x14ac:dyDescent="0.25">
      <c r="A49" s="6"/>
      <c r="B49" s="6"/>
      <c r="C49" s="6"/>
      <c r="D49" s="6"/>
      <c r="E49" s="6"/>
      <c r="F49" s="6"/>
      <c r="G49" s="6"/>
      <c r="H49" s="6"/>
      <c r="I49" s="6"/>
      <c r="J49" s="6"/>
      <c r="K49" s="6"/>
      <c r="L49" s="6"/>
      <c r="M49" s="6"/>
      <c r="N49" s="6"/>
      <c r="O49" s="6"/>
      <c r="P49" s="6"/>
      <c r="Q49" s="6"/>
      <c r="R49" s="6"/>
      <c r="S49" s="6"/>
      <c r="T49" s="72" t="s">
        <v>140</v>
      </c>
      <c r="AB49" s="73"/>
    </row>
    <row r="50" spans="1:28" x14ac:dyDescent="0.25">
      <c r="A50" s="6"/>
      <c r="B50" s="6"/>
      <c r="C50" s="6"/>
      <c r="D50" s="6"/>
      <c r="E50" s="6"/>
      <c r="F50" s="6"/>
      <c r="G50" s="6"/>
      <c r="H50" s="6"/>
      <c r="I50" s="6"/>
      <c r="J50" s="6"/>
      <c r="K50" s="6"/>
      <c r="L50" s="6"/>
      <c r="M50" s="6"/>
      <c r="N50" s="6"/>
      <c r="O50" s="6"/>
      <c r="P50" s="6"/>
      <c r="Q50" s="6"/>
      <c r="R50" s="6"/>
      <c r="S50" s="6"/>
      <c r="T50" s="72" t="s">
        <v>141</v>
      </c>
      <c r="AB50" s="73"/>
    </row>
    <row r="51" spans="1:28" x14ac:dyDescent="0.25">
      <c r="A51" s="6"/>
      <c r="B51" s="6"/>
      <c r="C51" s="6"/>
      <c r="D51" s="6"/>
      <c r="E51" s="6"/>
      <c r="F51" s="6"/>
      <c r="G51" s="6"/>
      <c r="H51" s="6"/>
      <c r="I51" s="6"/>
      <c r="J51" s="6"/>
      <c r="K51" s="6"/>
      <c r="L51" s="6"/>
      <c r="M51" s="6"/>
      <c r="N51" s="6"/>
      <c r="O51" s="6"/>
      <c r="P51" s="6"/>
      <c r="Q51" s="6"/>
      <c r="R51" s="6"/>
      <c r="S51" s="6"/>
      <c r="T51" s="72" t="s">
        <v>142</v>
      </c>
      <c r="AB51" s="73"/>
    </row>
    <row r="52" spans="1:28" ht="15.75" thickBot="1" x14ac:dyDescent="0.3">
      <c r="A52" s="6"/>
      <c r="B52" s="6"/>
      <c r="C52" s="6"/>
      <c r="D52" s="6"/>
      <c r="E52" s="6"/>
      <c r="F52" s="6"/>
      <c r="G52" s="6"/>
      <c r="H52" s="6"/>
      <c r="I52" s="6"/>
      <c r="J52" s="6"/>
      <c r="K52" s="6"/>
      <c r="L52" s="6"/>
      <c r="M52" s="6"/>
      <c r="N52" s="6"/>
      <c r="O52" s="6"/>
      <c r="P52" s="6"/>
      <c r="Q52" s="6"/>
      <c r="R52" s="6"/>
      <c r="S52" s="6"/>
      <c r="T52" s="74" t="s">
        <v>143</v>
      </c>
      <c r="U52" s="75"/>
      <c r="V52" s="75"/>
      <c r="W52" s="75"/>
      <c r="X52" s="75"/>
      <c r="Y52" s="75"/>
      <c r="Z52" s="75"/>
      <c r="AA52" s="75"/>
      <c r="AB52" s="76"/>
    </row>
    <row r="53" spans="1:28" x14ac:dyDescent="0.25">
      <c r="A53" s="6"/>
      <c r="B53" s="6"/>
      <c r="C53" s="6"/>
      <c r="D53" s="6"/>
      <c r="E53" s="6"/>
      <c r="F53" s="6"/>
      <c r="G53" s="6"/>
      <c r="H53" s="6"/>
      <c r="I53" s="6"/>
      <c r="J53" s="6"/>
      <c r="K53" s="6"/>
      <c r="L53" s="6"/>
      <c r="M53" s="6"/>
      <c r="N53" s="6"/>
      <c r="O53" s="6"/>
      <c r="P53" s="6"/>
      <c r="Q53" s="6"/>
      <c r="R53" s="6"/>
      <c r="S53" s="6"/>
      <c r="T53" s="8"/>
    </row>
    <row r="54" spans="1:28" x14ac:dyDescent="0.25">
      <c r="A54" s="6"/>
      <c r="B54" s="6"/>
      <c r="C54" s="6"/>
      <c r="D54" s="6"/>
      <c r="E54" s="6"/>
      <c r="F54" s="6"/>
      <c r="G54" s="6"/>
      <c r="H54" s="6"/>
      <c r="I54" s="6"/>
      <c r="J54" s="6"/>
      <c r="K54" s="6"/>
      <c r="L54" s="6"/>
      <c r="M54" s="6"/>
      <c r="N54" s="6"/>
      <c r="O54" s="6"/>
      <c r="P54" s="6"/>
      <c r="Q54" s="6"/>
      <c r="R54" s="6"/>
      <c r="S54" s="6"/>
      <c r="T54" s="6"/>
    </row>
    <row r="55" spans="1:28" x14ac:dyDescent="0.25">
      <c r="A55" s="6"/>
      <c r="B55" s="6"/>
      <c r="C55" s="6"/>
      <c r="D55" s="6"/>
      <c r="E55" s="6"/>
      <c r="F55" s="6"/>
      <c r="G55" s="6"/>
      <c r="H55" s="6"/>
      <c r="I55" s="6"/>
      <c r="J55" s="6"/>
      <c r="K55" s="6"/>
      <c r="L55" s="6"/>
      <c r="M55" s="6"/>
      <c r="N55" s="6"/>
      <c r="O55" s="6"/>
      <c r="P55" s="6"/>
      <c r="Q55" s="6"/>
      <c r="R55" s="6"/>
      <c r="S55" s="6"/>
      <c r="T55" s="6"/>
    </row>
    <row r="56" spans="1:28" x14ac:dyDescent="0.25">
      <c r="A56" s="6"/>
      <c r="B56" s="6"/>
      <c r="C56" s="6"/>
      <c r="D56" s="6"/>
      <c r="E56" s="6"/>
      <c r="F56" s="6"/>
      <c r="G56" s="6"/>
      <c r="H56" s="6"/>
      <c r="I56" s="6"/>
      <c r="J56" s="6"/>
      <c r="K56" s="6"/>
      <c r="L56" s="6"/>
      <c r="M56" s="6"/>
      <c r="N56" s="6"/>
      <c r="O56" s="6"/>
      <c r="P56" s="6"/>
      <c r="Q56" s="6"/>
      <c r="R56" s="6"/>
      <c r="S56" s="6"/>
      <c r="T56" s="6"/>
    </row>
    <row r="57" spans="1:28" x14ac:dyDescent="0.25">
      <c r="A57" s="6"/>
      <c r="B57" s="6"/>
      <c r="C57" s="6"/>
      <c r="D57" s="6"/>
      <c r="E57" s="6"/>
      <c r="F57" s="6"/>
      <c r="G57" s="6"/>
      <c r="H57" s="6"/>
      <c r="I57" s="6"/>
      <c r="J57" s="6"/>
      <c r="K57" s="6"/>
      <c r="L57" s="6"/>
      <c r="M57" s="6"/>
      <c r="N57" s="6"/>
      <c r="O57" s="6"/>
      <c r="P57" s="6"/>
      <c r="Q57" s="6"/>
      <c r="R57" s="6"/>
      <c r="S57" s="6"/>
      <c r="T57" s="6"/>
    </row>
    <row r="58" spans="1:28" x14ac:dyDescent="0.25">
      <c r="A58" s="6"/>
      <c r="B58" s="6"/>
      <c r="C58" s="6"/>
      <c r="D58" s="6"/>
      <c r="E58" s="6"/>
      <c r="F58" s="6"/>
      <c r="G58" s="6"/>
      <c r="H58" s="6"/>
      <c r="I58" s="6"/>
      <c r="J58" s="6"/>
      <c r="K58" s="6"/>
      <c r="L58" s="6"/>
      <c r="M58" s="6"/>
      <c r="N58" s="6"/>
      <c r="O58" s="6"/>
      <c r="P58" s="6"/>
      <c r="Q58" s="6"/>
      <c r="R58" s="6"/>
      <c r="S58" s="6"/>
      <c r="T58" s="6"/>
    </row>
    <row r="59" spans="1:28" x14ac:dyDescent="0.25">
      <c r="A59" s="6"/>
      <c r="B59" s="6"/>
      <c r="C59" s="6"/>
      <c r="D59" s="6"/>
      <c r="E59" s="6"/>
      <c r="F59" s="6"/>
      <c r="G59" s="6"/>
      <c r="H59" s="6"/>
      <c r="I59" s="6"/>
      <c r="J59" s="6"/>
      <c r="K59" s="6"/>
      <c r="L59" s="6"/>
      <c r="M59" s="6"/>
      <c r="N59" s="6"/>
      <c r="O59" s="6"/>
      <c r="P59" s="6"/>
      <c r="Q59" s="6"/>
      <c r="R59" s="6"/>
      <c r="S59" s="6"/>
      <c r="T59" s="6"/>
    </row>
    <row r="60" spans="1:28" x14ac:dyDescent="0.25">
      <c r="A60" s="6"/>
      <c r="B60" s="6"/>
      <c r="C60" s="6"/>
      <c r="D60" s="6"/>
      <c r="E60" s="6"/>
      <c r="F60" s="6"/>
      <c r="G60" s="6"/>
      <c r="H60" s="6"/>
      <c r="I60" s="6"/>
      <c r="J60" s="6"/>
      <c r="K60" s="6"/>
      <c r="L60" s="6"/>
      <c r="M60" s="6"/>
      <c r="N60" s="6"/>
      <c r="O60" s="6"/>
      <c r="P60" s="6"/>
      <c r="Q60" s="6"/>
      <c r="R60" s="6"/>
      <c r="S60" s="6"/>
      <c r="T60" s="6"/>
    </row>
    <row r="61" spans="1:28" x14ac:dyDescent="0.25">
      <c r="A61" s="6"/>
      <c r="B61" s="6"/>
      <c r="C61" s="6"/>
      <c r="D61" s="6"/>
      <c r="E61" s="6"/>
      <c r="F61" s="6"/>
      <c r="G61" s="6"/>
      <c r="H61" s="6"/>
      <c r="I61" s="6"/>
      <c r="J61" s="6"/>
      <c r="K61" s="6"/>
      <c r="L61" s="6"/>
      <c r="M61" s="6"/>
      <c r="N61" s="6"/>
      <c r="O61" s="6"/>
      <c r="P61" s="6"/>
      <c r="Q61" s="6"/>
      <c r="R61" s="6"/>
      <c r="S61" s="6"/>
      <c r="T61" s="6"/>
    </row>
    <row r="62" spans="1:28" x14ac:dyDescent="0.25">
      <c r="A62" s="6"/>
      <c r="B62" s="6"/>
      <c r="C62" s="6"/>
      <c r="D62" s="6"/>
      <c r="E62" s="6"/>
      <c r="F62" s="6"/>
      <c r="G62" s="6"/>
      <c r="H62" s="6"/>
      <c r="I62" s="6"/>
      <c r="J62" s="6"/>
      <c r="K62" s="6"/>
      <c r="L62" s="6"/>
      <c r="M62" s="6"/>
      <c r="N62" s="6"/>
      <c r="O62" s="6"/>
      <c r="P62" s="6"/>
      <c r="Q62" s="6"/>
      <c r="R62" s="6"/>
      <c r="S62" s="6"/>
      <c r="T62" s="6"/>
    </row>
    <row r="63" spans="1:28" x14ac:dyDescent="0.25">
      <c r="A63" s="6"/>
      <c r="B63" s="6"/>
      <c r="C63" s="6"/>
      <c r="D63" s="6"/>
      <c r="E63" s="6"/>
      <c r="F63" s="6"/>
      <c r="G63" s="6"/>
      <c r="H63" s="6"/>
      <c r="I63" s="6"/>
      <c r="J63" s="6"/>
      <c r="K63" s="6"/>
      <c r="L63" s="6"/>
      <c r="M63" s="6"/>
      <c r="N63" s="6"/>
      <c r="O63" s="6"/>
      <c r="P63" s="6"/>
      <c r="Q63" s="6"/>
      <c r="R63" s="6"/>
      <c r="S63" s="6"/>
      <c r="T63" s="6"/>
    </row>
    <row r="64" spans="1:28" x14ac:dyDescent="0.25">
      <c r="A64" s="6"/>
      <c r="B64" s="6"/>
      <c r="C64" s="6"/>
      <c r="D64" s="6"/>
      <c r="E64" s="6"/>
      <c r="F64" s="6"/>
      <c r="G64" s="6"/>
      <c r="H64" s="6"/>
      <c r="I64" s="6"/>
      <c r="J64" s="6"/>
      <c r="K64" s="6"/>
      <c r="L64" s="6"/>
      <c r="M64" s="6"/>
      <c r="N64" s="6"/>
      <c r="O64" s="6"/>
      <c r="P64" s="6"/>
      <c r="Q64" s="6"/>
      <c r="R64" s="6"/>
      <c r="S64" s="6"/>
      <c r="T64" s="6"/>
    </row>
    <row r="65" spans="1:20" x14ac:dyDescent="0.25">
      <c r="A65" s="6"/>
      <c r="B65" s="6"/>
      <c r="C65" s="6"/>
      <c r="D65" s="6"/>
      <c r="E65" s="6"/>
      <c r="F65" s="6"/>
      <c r="G65" s="6"/>
      <c r="H65" s="6"/>
      <c r="I65" s="6"/>
      <c r="J65" s="6"/>
      <c r="K65" s="6"/>
      <c r="L65" s="6"/>
      <c r="M65" s="6"/>
      <c r="N65" s="6"/>
      <c r="O65" s="6"/>
      <c r="P65" s="6"/>
      <c r="Q65" s="6"/>
      <c r="R65" s="6"/>
      <c r="S65" s="6"/>
      <c r="T65" s="6"/>
    </row>
    <row r="66" spans="1:20" x14ac:dyDescent="0.25">
      <c r="A66" s="6"/>
      <c r="B66" s="6"/>
      <c r="C66" s="6"/>
      <c r="D66" s="6"/>
      <c r="E66" s="6"/>
      <c r="F66" s="6"/>
      <c r="G66" s="6"/>
      <c r="H66" s="6"/>
      <c r="I66" s="6"/>
      <c r="J66" s="6"/>
      <c r="K66" s="6"/>
      <c r="L66" s="6"/>
      <c r="M66" s="6"/>
      <c r="N66" s="6"/>
      <c r="O66" s="6"/>
      <c r="P66" s="6"/>
      <c r="Q66" s="6"/>
      <c r="R66" s="6"/>
      <c r="S66" s="6"/>
      <c r="T66" s="6"/>
    </row>
    <row r="67" spans="1:20" x14ac:dyDescent="0.25">
      <c r="A67" s="6"/>
      <c r="B67" s="6"/>
      <c r="C67" s="6"/>
      <c r="D67" s="6"/>
      <c r="E67" s="6"/>
      <c r="F67" s="6"/>
      <c r="G67" s="6"/>
      <c r="H67" s="6"/>
      <c r="I67" s="6"/>
      <c r="J67" s="6"/>
      <c r="K67" s="6"/>
      <c r="L67" s="6"/>
      <c r="M67" s="6"/>
      <c r="N67" s="6"/>
      <c r="O67" s="6"/>
      <c r="P67" s="6"/>
      <c r="Q67" s="6"/>
      <c r="R67" s="6"/>
      <c r="S67" s="6"/>
      <c r="T67" s="6"/>
    </row>
    <row r="68" spans="1:20" x14ac:dyDescent="0.25">
      <c r="A68" s="6"/>
      <c r="B68" s="6"/>
      <c r="C68" s="6"/>
      <c r="D68" s="6"/>
      <c r="E68" s="6"/>
      <c r="F68" s="6"/>
      <c r="G68" s="6"/>
      <c r="H68" s="6"/>
      <c r="I68" s="6"/>
      <c r="J68" s="6"/>
      <c r="K68" s="6"/>
      <c r="L68" s="6"/>
      <c r="M68" s="6"/>
      <c r="N68" s="6"/>
      <c r="O68" s="6"/>
      <c r="P68" s="6"/>
      <c r="Q68" s="6"/>
      <c r="R68" s="6"/>
      <c r="S68" s="6"/>
      <c r="T68" s="6"/>
    </row>
    <row r="69" spans="1:20" x14ac:dyDescent="0.25">
      <c r="A69" s="6"/>
      <c r="B69" s="6"/>
      <c r="C69" s="6"/>
      <c r="D69" s="6"/>
      <c r="E69" s="6"/>
      <c r="F69" s="6"/>
      <c r="G69" s="6"/>
      <c r="H69" s="6"/>
      <c r="I69" s="6"/>
      <c r="J69" s="6"/>
      <c r="K69" s="6"/>
      <c r="L69" s="6"/>
      <c r="M69" s="6"/>
      <c r="N69" s="6"/>
      <c r="O69" s="6"/>
      <c r="P69" s="6"/>
      <c r="Q69" s="6"/>
      <c r="R69" s="6"/>
      <c r="S69" s="6"/>
      <c r="T69" s="6"/>
    </row>
    <row r="70" spans="1:20" x14ac:dyDescent="0.25">
      <c r="A70" s="6"/>
      <c r="B70" s="6"/>
      <c r="C70" s="6"/>
      <c r="D70" s="6"/>
      <c r="E70" s="6"/>
      <c r="F70" s="6"/>
      <c r="G70" s="6"/>
      <c r="H70" s="6"/>
      <c r="I70" s="6"/>
      <c r="J70" s="6"/>
      <c r="K70" s="6"/>
      <c r="L70" s="6"/>
      <c r="M70" s="6"/>
      <c r="N70" s="6"/>
      <c r="O70" s="6"/>
      <c r="P70" s="6"/>
      <c r="Q70" s="6"/>
      <c r="R70" s="6"/>
      <c r="S70" s="6"/>
      <c r="T70" s="6"/>
    </row>
    <row r="71" spans="1:20" x14ac:dyDescent="0.25">
      <c r="A71" s="6"/>
      <c r="B71" s="6"/>
      <c r="C71" s="6"/>
      <c r="D71" s="6"/>
      <c r="E71" s="6"/>
      <c r="F71" s="6"/>
      <c r="G71" s="6"/>
      <c r="H71" s="6"/>
      <c r="I71" s="6"/>
      <c r="J71" s="6"/>
      <c r="K71" s="6"/>
      <c r="L71" s="6"/>
      <c r="M71" s="6"/>
      <c r="N71" s="6"/>
      <c r="O71" s="6"/>
      <c r="P71" s="6"/>
      <c r="Q71" s="6"/>
      <c r="R71" s="6"/>
      <c r="S71" s="6"/>
      <c r="T71" s="6"/>
    </row>
    <row r="72" spans="1:20" x14ac:dyDescent="0.25">
      <c r="A72" s="6"/>
      <c r="B72" s="6"/>
      <c r="C72" s="6"/>
      <c r="D72" s="6"/>
      <c r="E72" s="6"/>
      <c r="F72" s="6"/>
      <c r="G72" s="6"/>
      <c r="H72" s="6"/>
      <c r="I72" s="6"/>
      <c r="J72" s="6"/>
      <c r="K72" s="6"/>
      <c r="L72" s="6"/>
      <c r="M72" s="6"/>
      <c r="N72" s="6"/>
      <c r="O72" s="6"/>
      <c r="P72" s="6"/>
      <c r="Q72" s="6"/>
      <c r="R72" s="6"/>
      <c r="S72" s="6"/>
      <c r="T72" s="6"/>
    </row>
    <row r="73" spans="1:20" x14ac:dyDescent="0.25">
      <c r="A73" s="6"/>
      <c r="B73" s="6"/>
      <c r="C73" s="6"/>
      <c r="D73" s="6"/>
      <c r="E73" s="6"/>
      <c r="F73" s="6"/>
      <c r="G73" s="6"/>
      <c r="H73" s="6"/>
      <c r="I73" s="6"/>
      <c r="J73" s="6"/>
      <c r="K73" s="6"/>
      <c r="L73" s="6"/>
      <c r="M73" s="6"/>
      <c r="N73" s="6"/>
      <c r="O73" s="6"/>
      <c r="P73" s="6"/>
      <c r="Q73" s="6"/>
      <c r="R73" s="6"/>
      <c r="S73" s="6"/>
      <c r="T73" s="6"/>
    </row>
    <row r="74" spans="1:20" x14ac:dyDescent="0.25">
      <c r="A74" s="6"/>
      <c r="B74" s="6"/>
      <c r="C74" s="6"/>
      <c r="D74" s="6"/>
      <c r="E74" s="6"/>
      <c r="F74" s="6"/>
      <c r="G74" s="6"/>
      <c r="H74" s="6"/>
      <c r="I74" s="6"/>
      <c r="J74" s="6"/>
      <c r="K74" s="6"/>
      <c r="L74" s="6"/>
      <c r="M74" s="6"/>
      <c r="N74" s="6"/>
      <c r="O74" s="6"/>
      <c r="P74" s="6"/>
      <c r="Q74" s="6"/>
      <c r="R74" s="6"/>
      <c r="S74" s="6"/>
      <c r="T74" s="6"/>
    </row>
    <row r="75" spans="1:20" x14ac:dyDescent="0.25">
      <c r="A75" s="6"/>
      <c r="B75" s="6"/>
      <c r="C75" s="6"/>
      <c r="D75" s="6"/>
      <c r="E75" s="6"/>
      <c r="F75" s="6"/>
      <c r="G75" s="6"/>
      <c r="H75" s="6"/>
      <c r="I75" s="6"/>
      <c r="J75" s="6"/>
      <c r="K75" s="6"/>
      <c r="L75" s="6"/>
      <c r="M75" s="6"/>
      <c r="N75" s="6"/>
      <c r="O75" s="6"/>
      <c r="P75" s="6"/>
      <c r="Q75" s="6"/>
      <c r="R75" s="6"/>
      <c r="S75" s="6"/>
      <c r="T75" s="6"/>
    </row>
    <row r="76" spans="1:20" x14ac:dyDescent="0.25">
      <c r="A76" s="6"/>
      <c r="B76" s="6"/>
      <c r="C76" s="6"/>
      <c r="D76" s="6"/>
      <c r="E76" s="6"/>
      <c r="F76" s="6"/>
      <c r="G76" s="6"/>
      <c r="H76" s="6"/>
      <c r="I76" s="6"/>
      <c r="J76" s="6"/>
      <c r="K76" s="6"/>
      <c r="L76" s="6"/>
      <c r="M76" s="6"/>
      <c r="N76" s="6"/>
      <c r="O76" s="6"/>
      <c r="P76" s="6"/>
      <c r="Q76" s="6"/>
      <c r="R76" s="6"/>
      <c r="S76" s="6"/>
      <c r="T76" s="6"/>
    </row>
    <row r="77" spans="1:20" x14ac:dyDescent="0.25">
      <c r="A77" s="6"/>
      <c r="B77" s="6"/>
      <c r="C77" s="6"/>
      <c r="D77" s="6"/>
      <c r="E77" s="6"/>
      <c r="F77" s="6"/>
      <c r="G77" s="6"/>
      <c r="H77" s="6"/>
      <c r="I77" s="6"/>
      <c r="J77" s="6"/>
      <c r="K77" s="6"/>
      <c r="L77" s="6"/>
      <c r="M77" s="6"/>
      <c r="N77" s="6"/>
      <c r="O77" s="6"/>
      <c r="P77" s="6"/>
      <c r="Q77" s="6"/>
      <c r="R77" s="6"/>
      <c r="S77" s="6"/>
      <c r="T77" s="6"/>
    </row>
    <row r="78" spans="1:20" x14ac:dyDescent="0.25">
      <c r="A78" s="6"/>
      <c r="B78" s="6"/>
      <c r="C78" s="6"/>
      <c r="D78" s="6"/>
      <c r="E78" s="6"/>
      <c r="F78" s="6"/>
      <c r="G78" s="6"/>
      <c r="H78" s="6"/>
      <c r="I78" s="6"/>
      <c r="J78" s="6"/>
      <c r="K78" s="6"/>
      <c r="L78" s="6"/>
      <c r="M78" s="6"/>
      <c r="N78" s="6"/>
      <c r="O78" s="6"/>
      <c r="P78" s="6"/>
      <c r="Q78" s="6"/>
      <c r="R78" s="6"/>
      <c r="S78" s="6"/>
      <c r="T78" s="6"/>
    </row>
    <row r="79" spans="1:20" x14ac:dyDescent="0.25">
      <c r="A79" s="6"/>
      <c r="B79" s="6"/>
      <c r="C79" s="6"/>
      <c r="D79" s="6"/>
      <c r="E79" s="6"/>
      <c r="F79" s="6"/>
      <c r="G79" s="6"/>
      <c r="H79" s="6"/>
      <c r="I79" s="6"/>
      <c r="J79" s="6"/>
      <c r="K79" s="6"/>
      <c r="L79" s="6"/>
      <c r="M79" s="6"/>
      <c r="N79" s="6"/>
      <c r="O79" s="6"/>
      <c r="P79" s="6"/>
      <c r="Q79" s="6"/>
      <c r="R79" s="6"/>
      <c r="S79" s="6"/>
      <c r="T79" s="6"/>
    </row>
    <row r="80" spans="1:20" x14ac:dyDescent="0.25">
      <c r="A80" s="6"/>
      <c r="B80" s="6"/>
      <c r="C80" s="6"/>
      <c r="D80" s="6"/>
      <c r="E80" s="6"/>
      <c r="F80" s="6"/>
      <c r="G80" s="6"/>
      <c r="H80" s="6"/>
      <c r="I80" s="6"/>
      <c r="J80" s="6"/>
      <c r="K80" s="6"/>
      <c r="L80" s="6"/>
      <c r="M80" s="6"/>
      <c r="N80" s="6"/>
      <c r="O80" s="6"/>
      <c r="P80" s="6"/>
      <c r="Q80" s="6"/>
      <c r="R80" s="6"/>
      <c r="S80" s="6"/>
      <c r="T80" s="6"/>
    </row>
    <row r="81" spans="1:20" x14ac:dyDescent="0.25">
      <c r="A81" s="6"/>
      <c r="B81" s="6"/>
      <c r="C81" s="6"/>
      <c r="D81" s="6"/>
      <c r="E81" s="6"/>
      <c r="F81" s="6"/>
      <c r="G81" s="6"/>
      <c r="H81" s="6"/>
      <c r="I81" s="6"/>
      <c r="J81" s="6"/>
      <c r="K81" s="6"/>
      <c r="L81" s="6"/>
      <c r="M81" s="6"/>
      <c r="N81" s="6"/>
      <c r="O81" s="6"/>
      <c r="P81" s="6"/>
      <c r="Q81" s="6"/>
      <c r="R81" s="6"/>
      <c r="S81" s="6"/>
      <c r="T81" s="6"/>
    </row>
    <row r="82" spans="1:20" x14ac:dyDescent="0.25">
      <c r="A82" s="6"/>
      <c r="B82" s="6"/>
      <c r="C82" s="6"/>
      <c r="D82" s="6"/>
      <c r="E82" s="6"/>
      <c r="F82" s="6"/>
      <c r="G82" s="6"/>
      <c r="H82" s="6"/>
      <c r="I82" s="6"/>
      <c r="J82" s="6"/>
      <c r="K82" s="6"/>
      <c r="L82" s="6"/>
      <c r="M82" s="6"/>
      <c r="N82" s="6"/>
      <c r="O82" s="6"/>
      <c r="P82" s="6"/>
      <c r="Q82" s="6"/>
      <c r="R82" s="6"/>
      <c r="S82" s="6"/>
      <c r="T82" s="6"/>
    </row>
    <row r="83" spans="1:20" x14ac:dyDescent="0.25">
      <c r="A83" s="6"/>
      <c r="B83" s="6"/>
      <c r="C83" s="6"/>
      <c r="D83" s="6"/>
      <c r="E83" s="6"/>
      <c r="F83" s="6"/>
      <c r="G83" s="6"/>
      <c r="H83" s="6"/>
      <c r="I83" s="6"/>
      <c r="J83" s="6"/>
      <c r="K83" s="6"/>
      <c r="L83" s="6"/>
      <c r="M83" s="6"/>
      <c r="N83" s="6"/>
      <c r="O83" s="6"/>
      <c r="P83" s="6"/>
      <c r="Q83" s="6"/>
      <c r="R83" s="6"/>
      <c r="S83" s="6"/>
      <c r="T83" s="6"/>
    </row>
    <row r="84" spans="1:20" x14ac:dyDescent="0.25">
      <c r="A84" s="6"/>
      <c r="B84" s="6"/>
      <c r="C84" s="6"/>
      <c r="D84" s="6"/>
      <c r="E84" s="6"/>
      <c r="F84" s="6"/>
      <c r="G84" s="6"/>
      <c r="H84" s="6"/>
      <c r="I84" s="6"/>
      <c r="J84" s="6"/>
      <c r="K84" s="6"/>
      <c r="L84" s="6"/>
      <c r="M84" s="6"/>
      <c r="N84" s="6"/>
      <c r="O84" s="6"/>
      <c r="P84" s="6"/>
      <c r="Q84" s="6"/>
      <c r="R84" s="6"/>
      <c r="S84" s="6"/>
      <c r="T84" s="6"/>
    </row>
    <row r="85" spans="1:20" x14ac:dyDescent="0.25">
      <c r="A85" s="6"/>
      <c r="B85" s="6"/>
      <c r="C85" s="6"/>
      <c r="D85" s="6"/>
      <c r="E85" s="6"/>
      <c r="F85" s="6"/>
      <c r="G85" s="6"/>
      <c r="H85" s="6"/>
      <c r="I85" s="6"/>
      <c r="J85" s="6"/>
      <c r="K85" s="6"/>
      <c r="L85" s="6"/>
      <c r="M85" s="6"/>
      <c r="N85" s="6"/>
      <c r="O85" s="6"/>
      <c r="P85" s="6"/>
      <c r="Q85" s="6"/>
      <c r="R85" s="6"/>
      <c r="S85" s="6"/>
      <c r="T85" s="6"/>
    </row>
    <row r="86" spans="1:20" x14ac:dyDescent="0.25">
      <c r="A86" s="6"/>
      <c r="B86" s="6"/>
      <c r="C86" s="6"/>
      <c r="D86" s="6"/>
      <c r="E86" s="6"/>
      <c r="F86" s="6"/>
      <c r="G86" s="6"/>
      <c r="H86" s="6"/>
      <c r="I86" s="6"/>
      <c r="J86" s="6"/>
      <c r="K86" s="6"/>
      <c r="L86" s="6"/>
      <c r="M86" s="6"/>
      <c r="N86" s="6"/>
      <c r="O86" s="6"/>
      <c r="P86" s="6"/>
      <c r="Q86" s="6"/>
      <c r="R86" s="6"/>
      <c r="S86" s="6"/>
      <c r="T86" s="6"/>
    </row>
    <row r="87" spans="1:20" x14ac:dyDescent="0.25">
      <c r="A87" s="6"/>
      <c r="B87" s="6"/>
      <c r="C87" s="6"/>
      <c r="D87" s="6"/>
      <c r="E87" s="6"/>
      <c r="F87" s="6"/>
      <c r="G87" s="6"/>
      <c r="H87" s="6"/>
      <c r="I87" s="6"/>
      <c r="J87" s="6"/>
      <c r="K87" s="6"/>
      <c r="L87" s="6"/>
      <c r="M87" s="6"/>
      <c r="N87" s="6"/>
      <c r="O87" s="6"/>
      <c r="P87" s="6"/>
      <c r="Q87" s="6"/>
      <c r="R87" s="6"/>
      <c r="S87" s="6"/>
      <c r="T87" s="6"/>
    </row>
    <row r="88" spans="1:20" x14ac:dyDescent="0.25">
      <c r="A88" s="6"/>
      <c r="B88" s="6"/>
      <c r="C88" s="6"/>
      <c r="D88" s="6"/>
      <c r="E88" s="6"/>
      <c r="F88" s="6"/>
      <c r="G88" s="6"/>
      <c r="H88" s="6"/>
      <c r="I88" s="6"/>
      <c r="J88" s="6"/>
      <c r="K88" s="6"/>
      <c r="L88" s="6"/>
      <c r="M88" s="6"/>
      <c r="N88" s="6"/>
      <c r="O88" s="6"/>
      <c r="P88" s="6"/>
      <c r="Q88" s="6"/>
      <c r="R88" s="6"/>
      <c r="S88" s="6"/>
      <c r="T88" s="6"/>
    </row>
    <row r="89" spans="1:20" x14ac:dyDescent="0.25">
      <c r="A89" s="6"/>
      <c r="B89" s="6"/>
      <c r="C89" s="6"/>
      <c r="D89" s="6"/>
      <c r="E89" s="6"/>
      <c r="F89" s="6"/>
      <c r="G89" s="6"/>
      <c r="H89" s="6"/>
      <c r="I89" s="6"/>
      <c r="J89" s="6"/>
      <c r="K89" s="6"/>
      <c r="L89" s="6"/>
      <c r="M89" s="6"/>
      <c r="N89" s="6"/>
      <c r="O89" s="6"/>
      <c r="P89" s="6"/>
      <c r="Q89" s="6"/>
      <c r="R89" s="6"/>
      <c r="S89" s="6"/>
      <c r="T89" s="6"/>
    </row>
  </sheetData>
  <mergeCells count="4">
    <mergeCell ref="A30:A31"/>
    <mergeCell ref="B30:B31"/>
    <mergeCell ref="R30:R31"/>
    <mergeCell ref="A32:A41"/>
  </mergeCells>
  <dataValidations count="1">
    <dataValidation type="list" allowBlank="1" showInputMessage="1" showErrorMessage="1" sqref="C12 E12 G12 I12 K12 M12 O12 Q12 S12">
      <formula1>$R$2:$R$3</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9" tint="-0.249977111117893"/>
  </sheetPr>
  <dimension ref="A1:AH245"/>
  <sheetViews>
    <sheetView showGridLines="0" zoomScaleNormal="100" workbookViewId="0">
      <selection activeCell="N10" sqref="N10"/>
    </sheetView>
  </sheetViews>
  <sheetFormatPr defaultColWidth="8.7109375" defaultRowHeight="14.25" x14ac:dyDescent="0.2"/>
  <cols>
    <col min="1" max="1" width="26.42578125" style="81" bestFit="1" customWidth="1"/>
    <col min="2" max="2" width="12.140625" style="81" customWidth="1"/>
    <col min="3" max="3" width="12.7109375" style="81" customWidth="1"/>
    <col min="4" max="7" width="8.7109375" style="81"/>
    <col min="8" max="8" width="9.42578125" style="81" customWidth="1"/>
    <col min="9" max="16384" width="8.7109375" style="81"/>
  </cols>
  <sheetData>
    <row r="1" spans="1:34" x14ac:dyDescent="0.2">
      <c r="A1" s="77">
        <v>1</v>
      </c>
      <c r="B1" s="78"/>
      <c r="C1" s="79"/>
      <c r="D1" s="79"/>
      <c r="E1" s="79"/>
      <c r="F1" s="79"/>
      <c r="G1" s="79"/>
      <c r="H1" s="78"/>
      <c r="I1" s="80"/>
      <c r="J1" s="80"/>
      <c r="K1" s="80"/>
      <c r="L1" s="80"/>
      <c r="M1" s="80"/>
      <c r="N1" s="80"/>
      <c r="O1" s="80"/>
      <c r="P1" s="80"/>
      <c r="Q1" s="80"/>
      <c r="R1" s="80"/>
      <c r="S1" s="80"/>
      <c r="T1" s="80"/>
      <c r="U1" s="80"/>
      <c r="V1" s="80"/>
      <c r="W1" s="80"/>
      <c r="X1" s="80"/>
      <c r="Y1" s="80"/>
      <c r="Z1" s="80"/>
      <c r="AA1" s="80"/>
      <c r="AB1" s="80"/>
      <c r="AC1" s="80"/>
      <c r="AD1" s="80"/>
      <c r="AE1" s="80"/>
      <c r="AF1" s="80"/>
      <c r="AG1" s="80"/>
      <c r="AH1" s="80"/>
    </row>
    <row r="2" spans="1:34" x14ac:dyDescent="0.2">
      <c r="A2" s="77">
        <v>1</v>
      </c>
      <c r="B2" s="78"/>
      <c r="C2" s="79"/>
      <c r="D2" s="78"/>
      <c r="E2" s="78"/>
      <c r="F2" s="78"/>
      <c r="G2" s="78"/>
      <c r="H2" s="78"/>
      <c r="I2" s="80"/>
      <c r="J2" s="80"/>
      <c r="K2" s="80"/>
      <c r="L2" s="80"/>
      <c r="M2" s="80"/>
      <c r="N2" s="80"/>
      <c r="O2" s="80"/>
      <c r="P2" s="80"/>
      <c r="Q2" s="80"/>
      <c r="R2" s="80"/>
      <c r="S2" s="80"/>
      <c r="T2" s="80"/>
      <c r="U2" s="80"/>
      <c r="V2" s="80"/>
      <c r="W2" s="80"/>
      <c r="X2" s="80"/>
      <c r="Y2" s="80"/>
      <c r="Z2" s="80"/>
      <c r="AA2" s="80"/>
      <c r="AB2" s="80"/>
      <c r="AC2" s="80"/>
      <c r="AD2" s="80"/>
      <c r="AE2" s="80"/>
      <c r="AF2" s="80"/>
      <c r="AG2" s="80"/>
      <c r="AH2" s="80"/>
    </row>
    <row r="3" spans="1:34" x14ac:dyDescent="0.2">
      <c r="A3" s="77">
        <v>1</v>
      </c>
      <c r="B3" s="78"/>
      <c r="C3" s="79"/>
      <c r="D3" s="78"/>
      <c r="E3" s="78"/>
      <c r="F3" s="78"/>
      <c r="G3" s="78"/>
      <c r="H3" s="78"/>
      <c r="I3" s="80"/>
      <c r="J3" s="80"/>
      <c r="K3" s="80"/>
      <c r="L3" s="80"/>
      <c r="M3" s="80"/>
      <c r="N3" s="80"/>
      <c r="O3" s="80"/>
      <c r="P3" s="80"/>
      <c r="Q3" s="80"/>
      <c r="R3" s="80"/>
      <c r="S3" s="80"/>
      <c r="T3" s="80"/>
      <c r="U3" s="80"/>
      <c r="V3" s="80"/>
      <c r="W3" s="80"/>
      <c r="X3" s="80"/>
      <c r="Y3" s="80"/>
      <c r="Z3" s="80"/>
      <c r="AA3" s="80"/>
      <c r="AB3" s="80"/>
      <c r="AC3" s="80"/>
      <c r="AD3" s="80"/>
      <c r="AE3" s="80"/>
      <c r="AF3" s="80"/>
      <c r="AG3" s="80"/>
      <c r="AH3" s="80"/>
    </row>
    <row r="4" spans="1:34" x14ac:dyDescent="0.2">
      <c r="A4" s="78"/>
      <c r="B4" s="78"/>
      <c r="C4" s="78"/>
      <c r="D4" s="78"/>
      <c r="E4" s="78"/>
      <c r="F4" s="78"/>
      <c r="G4" s="78"/>
      <c r="H4" s="78"/>
      <c r="I4" s="80"/>
      <c r="J4" s="80"/>
      <c r="K4" s="80"/>
      <c r="L4" s="80"/>
      <c r="M4" s="80"/>
      <c r="N4" s="80"/>
      <c r="O4" s="80"/>
      <c r="P4" s="80"/>
      <c r="Q4" s="80"/>
      <c r="R4" s="80"/>
      <c r="S4" s="80"/>
      <c r="T4" s="80"/>
      <c r="U4" s="80"/>
      <c r="V4" s="80"/>
      <c r="W4" s="80"/>
      <c r="X4" s="80"/>
      <c r="Y4" s="80"/>
      <c r="Z4" s="80"/>
      <c r="AA4" s="80"/>
      <c r="AB4" s="80"/>
      <c r="AC4" s="80"/>
      <c r="AD4" s="80"/>
      <c r="AE4" s="80"/>
      <c r="AF4" s="80"/>
      <c r="AG4" s="80"/>
      <c r="AH4" s="80"/>
    </row>
    <row r="5" spans="1:34" x14ac:dyDescent="0.2">
      <c r="A5" s="78"/>
      <c r="B5" s="78"/>
      <c r="C5" s="78"/>
      <c r="D5" s="78"/>
      <c r="E5" s="78"/>
      <c r="F5" s="78"/>
      <c r="G5" s="78"/>
      <c r="H5" s="78"/>
      <c r="I5" s="80"/>
      <c r="J5" s="80"/>
      <c r="K5" s="80"/>
      <c r="L5" s="80"/>
      <c r="M5" s="80"/>
      <c r="N5" s="80"/>
      <c r="O5" s="80"/>
      <c r="P5" s="80"/>
      <c r="Q5" s="80"/>
      <c r="R5" s="80"/>
      <c r="S5" s="80"/>
      <c r="T5" s="80"/>
      <c r="U5" s="80"/>
      <c r="V5" s="80"/>
      <c r="W5" s="80"/>
      <c r="X5" s="80"/>
      <c r="Y5" s="80"/>
      <c r="Z5" s="80"/>
      <c r="AA5" s="80"/>
      <c r="AB5" s="80"/>
      <c r="AC5" s="80"/>
      <c r="AD5" s="80"/>
      <c r="AE5" s="80"/>
      <c r="AF5" s="80"/>
      <c r="AG5" s="80"/>
      <c r="AH5" s="80"/>
    </row>
    <row r="6" spans="1:34" x14ac:dyDescent="0.2">
      <c r="A6" s="78"/>
      <c r="B6" s="78"/>
      <c r="C6" s="78"/>
      <c r="D6" s="78"/>
      <c r="E6" s="78"/>
      <c r="F6" s="78"/>
      <c r="G6" s="78"/>
      <c r="H6" s="78"/>
      <c r="I6" s="80"/>
      <c r="J6" s="80"/>
      <c r="K6" s="80"/>
      <c r="L6" s="80"/>
      <c r="M6" s="80"/>
      <c r="N6" s="80"/>
      <c r="O6" s="80"/>
      <c r="P6" s="80"/>
      <c r="Q6" s="80"/>
      <c r="R6" s="80"/>
      <c r="S6" s="80"/>
      <c r="T6" s="80"/>
      <c r="U6" s="80"/>
      <c r="V6" s="80"/>
      <c r="W6" s="80"/>
      <c r="X6" s="80"/>
      <c r="Y6" s="80"/>
      <c r="Z6" s="80"/>
      <c r="AA6" s="80"/>
      <c r="AB6" s="80"/>
      <c r="AC6" s="80"/>
      <c r="AD6" s="80"/>
      <c r="AE6" s="80"/>
      <c r="AF6" s="80"/>
      <c r="AG6" s="80"/>
      <c r="AH6" s="80"/>
    </row>
    <row r="7" spans="1:34" x14ac:dyDescent="0.2">
      <c r="A7" s="78"/>
      <c r="B7" s="78"/>
      <c r="C7" s="78"/>
      <c r="D7" s="78"/>
      <c r="E7" s="78"/>
      <c r="F7" s="78"/>
      <c r="G7" s="78"/>
      <c r="H7" s="78"/>
      <c r="I7" s="80"/>
      <c r="J7" s="80"/>
      <c r="K7" s="80"/>
      <c r="L7" s="80"/>
      <c r="M7" s="80"/>
      <c r="N7" s="80"/>
      <c r="O7" s="80"/>
      <c r="P7" s="80"/>
      <c r="Q7" s="80"/>
      <c r="R7" s="80"/>
      <c r="S7" s="80"/>
      <c r="T7" s="80"/>
      <c r="U7" s="80"/>
      <c r="V7" s="80"/>
      <c r="W7" s="80"/>
      <c r="X7" s="80"/>
      <c r="Y7" s="80"/>
      <c r="Z7" s="80"/>
      <c r="AA7" s="80"/>
      <c r="AB7" s="80"/>
      <c r="AC7" s="80"/>
      <c r="AD7" s="80"/>
      <c r="AE7" s="80"/>
      <c r="AF7" s="80"/>
      <c r="AG7" s="80"/>
      <c r="AH7" s="80"/>
    </row>
    <row r="8" spans="1:34" x14ac:dyDescent="0.2">
      <c r="A8" s="78"/>
      <c r="B8" s="78"/>
      <c r="C8" s="78"/>
      <c r="D8" s="78"/>
      <c r="E8" s="78"/>
      <c r="F8" s="78"/>
      <c r="G8" s="78"/>
      <c r="H8" s="78"/>
      <c r="I8" s="80"/>
      <c r="J8" s="80"/>
      <c r="K8" s="80"/>
      <c r="L8" s="80"/>
      <c r="M8" s="80"/>
      <c r="N8" s="80"/>
      <c r="O8" s="80"/>
      <c r="P8" s="80"/>
      <c r="Q8" s="80"/>
      <c r="R8" s="80"/>
      <c r="S8" s="80"/>
      <c r="T8" s="80"/>
      <c r="U8" s="80"/>
      <c r="V8" s="80"/>
      <c r="W8" s="80"/>
      <c r="X8" s="80"/>
      <c r="Y8" s="80"/>
      <c r="Z8" s="80"/>
      <c r="AA8" s="80"/>
      <c r="AB8" s="80"/>
      <c r="AC8" s="80"/>
      <c r="AD8" s="80"/>
      <c r="AE8" s="80"/>
      <c r="AF8" s="80"/>
      <c r="AG8" s="80"/>
      <c r="AH8" s="80"/>
    </row>
    <row r="9" spans="1:34" x14ac:dyDescent="0.2">
      <c r="A9" s="78"/>
      <c r="B9" s="78"/>
      <c r="C9" s="78"/>
      <c r="D9" s="78"/>
      <c r="E9" s="78"/>
      <c r="F9" s="78"/>
      <c r="G9" s="78"/>
      <c r="H9" s="78"/>
      <c r="I9" s="80"/>
      <c r="J9" s="80"/>
      <c r="K9" s="80"/>
      <c r="L9" s="80"/>
      <c r="M9" s="80"/>
      <c r="N9" s="80"/>
      <c r="O9" s="80"/>
      <c r="P9" s="80"/>
      <c r="Q9" s="80"/>
      <c r="R9" s="80"/>
      <c r="S9" s="80"/>
      <c r="T9" s="80"/>
      <c r="U9" s="80"/>
      <c r="V9" s="80"/>
      <c r="W9" s="80"/>
      <c r="X9" s="80"/>
      <c r="Y9" s="80"/>
      <c r="Z9" s="80"/>
      <c r="AA9" s="80"/>
      <c r="AB9" s="80"/>
      <c r="AC9" s="80"/>
      <c r="AD9" s="80"/>
      <c r="AE9" s="80"/>
      <c r="AF9" s="80"/>
      <c r="AG9" s="80"/>
      <c r="AH9" s="80"/>
    </row>
    <row r="10" spans="1:34" x14ac:dyDescent="0.2">
      <c r="A10" s="78"/>
      <c r="B10" s="78"/>
      <c r="C10" s="78"/>
      <c r="D10" s="78"/>
      <c r="E10" s="78"/>
      <c r="F10" s="78"/>
      <c r="G10" s="78"/>
      <c r="H10" s="78"/>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row>
    <row r="11" spans="1:34" x14ac:dyDescent="0.2">
      <c r="A11" s="78"/>
      <c r="B11" s="78"/>
      <c r="C11" s="78"/>
      <c r="D11" s="78"/>
      <c r="E11" s="78"/>
      <c r="F11" s="78"/>
      <c r="G11" s="78"/>
      <c r="H11" s="78"/>
      <c r="I11" s="80"/>
      <c r="J11" s="80"/>
      <c r="K11" s="80"/>
      <c r="L11" s="80"/>
      <c r="M11" s="80"/>
      <c r="N11" s="80"/>
      <c r="O11" s="80"/>
      <c r="P11" s="80"/>
      <c r="Q11" s="80"/>
      <c r="R11" s="80"/>
      <c r="S11" s="80"/>
      <c r="T11" s="80"/>
      <c r="U11" s="80"/>
      <c r="V11" s="80"/>
      <c r="W11" s="80"/>
      <c r="X11" s="80"/>
      <c r="Y11" s="80"/>
      <c r="Z11" s="80"/>
      <c r="AA11" s="80"/>
      <c r="AB11" s="80"/>
      <c r="AC11" s="80"/>
      <c r="AD11" s="80"/>
      <c r="AE11" s="80"/>
      <c r="AF11" s="80"/>
      <c r="AG11" s="80"/>
      <c r="AH11" s="80"/>
    </row>
    <row r="12" spans="1:34" x14ac:dyDescent="0.2">
      <c r="A12" s="78"/>
      <c r="B12" s="78"/>
      <c r="C12" s="78"/>
      <c r="D12" s="78"/>
      <c r="E12" s="78"/>
      <c r="F12" s="78"/>
      <c r="G12" s="78"/>
      <c r="H12" s="78"/>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row>
    <row r="13" spans="1:34" x14ac:dyDescent="0.2">
      <c r="A13" s="78"/>
      <c r="B13" s="78"/>
      <c r="C13" s="78"/>
      <c r="D13" s="78"/>
      <c r="E13" s="78"/>
      <c r="F13" s="78"/>
      <c r="G13" s="78"/>
      <c r="H13" s="78"/>
      <c r="I13" s="80"/>
      <c r="J13" s="80"/>
      <c r="K13" s="80"/>
      <c r="L13" s="80"/>
      <c r="M13" s="80"/>
      <c r="N13" s="80"/>
      <c r="O13" s="80"/>
      <c r="P13" s="80"/>
      <c r="Q13" s="80"/>
      <c r="R13" s="80"/>
      <c r="S13" s="80"/>
      <c r="T13" s="80"/>
      <c r="U13" s="80"/>
      <c r="V13" s="80"/>
      <c r="W13" s="80"/>
      <c r="X13" s="80"/>
      <c r="Y13" s="80"/>
      <c r="Z13" s="80"/>
      <c r="AA13" s="80"/>
      <c r="AB13" s="80"/>
      <c r="AC13" s="80"/>
      <c r="AD13" s="80"/>
      <c r="AE13" s="80"/>
      <c r="AF13" s="80"/>
      <c r="AG13" s="80"/>
      <c r="AH13" s="80"/>
    </row>
    <row r="14" spans="1:34" x14ac:dyDescent="0.2">
      <c r="A14" s="78"/>
      <c r="B14" s="78"/>
      <c r="C14" s="78"/>
      <c r="D14" s="78"/>
      <c r="E14" s="78"/>
      <c r="F14" s="78"/>
      <c r="G14" s="78"/>
      <c r="H14" s="78"/>
      <c r="I14" s="80"/>
      <c r="J14" s="80"/>
      <c r="K14" s="80"/>
      <c r="L14" s="80"/>
      <c r="M14" s="80"/>
      <c r="N14" s="80"/>
      <c r="O14" s="80"/>
      <c r="P14" s="80"/>
      <c r="Q14" s="80"/>
      <c r="R14" s="80"/>
      <c r="S14" s="80"/>
      <c r="T14" s="80"/>
      <c r="U14" s="80"/>
      <c r="V14" s="80"/>
      <c r="W14" s="80"/>
      <c r="X14" s="80"/>
      <c r="Y14" s="80"/>
      <c r="Z14" s="80"/>
      <c r="AA14" s="80"/>
      <c r="AB14" s="80"/>
      <c r="AC14" s="80"/>
      <c r="AD14" s="80"/>
      <c r="AE14" s="80"/>
      <c r="AF14" s="80"/>
      <c r="AG14" s="80"/>
      <c r="AH14" s="80"/>
    </row>
    <row r="15" spans="1:34" x14ac:dyDescent="0.2">
      <c r="A15" s="78"/>
      <c r="B15" s="78"/>
      <c r="C15" s="78"/>
      <c r="D15" s="78"/>
      <c r="E15" s="78"/>
      <c r="F15" s="78"/>
      <c r="G15" s="78"/>
      <c r="H15" s="78"/>
      <c r="I15" s="80"/>
      <c r="J15" s="80"/>
      <c r="K15" s="80"/>
      <c r="L15" s="80"/>
      <c r="M15" s="80"/>
      <c r="N15" s="80"/>
      <c r="O15" s="80"/>
      <c r="P15" s="80"/>
      <c r="Q15" s="80"/>
      <c r="R15" s="80"/>
      <c r="S15" s="80"/>
      <c r="T15" s="80"/>
      <c r="U15" s="80"/>
      <c r="V15" s="80"/>
      <c r="W15" s="80"/>
      <c r="X15" s="80"/>
      <c r="Y15" s="80"/>
      <c r="Z15" s="80"/>
      <c r="AA15" s="80"/>
      <c r="AB15" s="80"/>
      <c r="AC15" s="80"/>
      <c r="AD15" s="80"/>
      <c r="AE15" s="80"/>
      <c r="AF15" s="80"/>
      <c r="AG15" s="80"/>
      <c r="AH15" s="80"/>
    </row>
    <row r="16" spans="1:34" x14ac:dyDescent="0.2">
      <c r="A16" s="78"/>
      <c r="B16" s="78"/>
      <c r="C16" s="78"/>
      <c r="D16" s="78"/>
      <c r="E16" s="78"/>
      <c r="F16" s="78"/>
      <c r="G16" s="78"/>
      <c r="H16" s="78"/>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row>
    <row r="17" spans="1:34" x14ac:dyDescent="0.2">
      <c r="A17" s="78"/>
      <c r="B17" s="78"/>
      <c r="C17" s="78"/>
      <c r="D17" s="78"/>
      <c r="E17" s="78"/>
      <c r="F17" s="78"/>
      <c r="G17" s="78"/>
      <c r="H17" s="78"/>
      <c r="I17" s="80"/>
      <c r="J17" s="80"/>
      <c r="K17" s="80"/>
      <c r="L17" s="80"/>
      <c r="M17" s="80"/>
      <c r="N17" s="80"/>
      <c r="O17" s="80"/>
      <c r="P17" s="80"/>
      <c r="Q17" s="80"/>
      <c r="R17" s="80"/>
      <c r="S17" s="80"/>
      <c r="T17" s="80"/>
      <c r="U17" s="80"/>
      <c r="V17" s="80"/>
      <c r="W17" s="80"/>
      <c r="X17" s="80"/>
      <c r="Y17" s="80"/>
      <c r="Z17" s="80"/>
      <c r="AA17" s="80"/>
      <c r="AB17" s="80"/>
      <c r="AC17" s="80"/>
      <c r="AD17" s="80"/>
      <c r="AE17" s="80"/>
      <c r="AF17" s="80"/>
      <c r="AG17" s="80"/>
      <c r="AH17" s="80"/>
    </row>
    <row r="18" spans="1:34" x14ac:dyDescent="0.2">
      <c r="A18" s="78"/>
      <c r="B18" s="78"/>
      <c r="C18" s="78"/>
      <c r="D18" s="78"/>
      <c r="E18" s="78"/>
      <c r="F18" s="78"/>
      <c r="G18" s="78"/>
      <c r="H18" s="78"/>
      <c r="I18" s="80"/>
      <c r="J18" s="80"/>
      <c r="K18" s="80"/>
      <c r="L18" s="80"/>
      <c r="M18" s="80"/>
      <c r="N18" s="80"/>
      <c r="O18" s="80"/>
      <c r="P18" s="80"/>
      <c r="Q18" s="80"/>
      <c r="R18" s="80"/>
      <c r="S18" s="80"/>
      <c r="T18" s="80"/>
      <c r="U18" s="80"/>
      <c r="V18" s="80"/>
      <c r="W18" s="80"/>
      <c r="X18" s="80"/>
      <c r="Y18" s="80"/>
      <c r="Z18" s="80"/>
      <c r="AA18" s="80"/>
      <c r="AB18" s="80"/>
      <c r="AC18" s="80"/>
      <c r="AD18" s="80"/>
      <c r="AE18" s="80"/>
      <c r="AF18" s="80"/>
      <c r="AG18" s="80"/>
      <c r="AH18" s="80"/>
    </row>
    <row r="19" spans="1:34" x14ac:dyDescent="0.2">
      <c r="A19" s="78"/>
      <c r="B19" s="78"/>
      <c r="C19" s="78"/>
      <c r="D19" s="78"/>
      <c r="E19" s="78"/>
      <c r="F19" s="78"/>
      <c r="G19" s="78"/>
      <c r="H19" s="78"/>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row>
    <row r="20" spans="1:34" x14ac:dyDescent="0.2">
      <c r="A20" s="78"/>
      <c r="B20" s="78"/>
      <c r="C20" s="78"/>
      <c r="D20" s="78"/>
      <c r="E20" s="78"/>
      <c r="F20" s="78"/>
      <c r="G20" s="78"/>
      <c r="H20" s="78"/>
      <c r="I20" s="80"/>
      <c r="J20" s="80"/>
      <c r="K20" s="80"/>
      <c r="L20" s="80"/>
      <c r="M20" s="80"/>
      <c r="N20" s="80"/>
      <c r="O20" s="80"/>
      <c r="P20" s="80"/>
      <c r="Q20" s="80"/>
      <c r="R20" s="80"/>
      <c r="S20" s="80"/>
      <c r="T20" s="80"/>
      <c r="U20" s="80"/>
      <c r="V20" s="80"/>
      <c r="W20" s="80"/>
      <c r="X20" s="80"/>
      <c r="Y20" s="80"/>
      <c r="Z20" s="80"/>
      <c r="AA20" s="80"/>
      <c r="AB20" s="80"/>
      <c r="AC20" s="80"/>
      <c r="AD20" s="80"/>
      <c r="AE20" s="80"/>
      <c r="AF20" s="80"/>
      <c r="AG20" s="80"/>
      <c r="AH20" s="80"/>
    </row>
    <row r="21" spans="1:34" x14ac:dyDescent="0.2">
      <c r="A21" s="78"/>
      <c r="B21" s="78"/>
      <c r="C21" s="78"/>
      <c r="D21" s="78"/>
      <c r="E21" s="78"/>
      <c r="F21" s="78"/>
      <c r="G21" s="78"/>
      <c r="H21" s="78"/>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row>
    <row r="22" spans="1:34" x14ac:dyDescent="0.2">
      <c r="A22" s="78"/>
      <c r="B22" s="78"/>
      <c r="C22" s="78"/>
      <c r="D22" s="78"/>
      <c r="E22" s="78"/>
      <c r="F22" s="78"/>
      <c r="G22" s="78"/>
      <c r="H22" s="78"/>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row>
    <row r="23" spans="1:34" x14ac:dyDescent="0.2">
      <c r="A23" s="78"/>
      <c r="B23" s="78"/>
      <c r="C23" s="78"/>
      <c r="D23" s="78"/>
      <c r="E23" s="78"/>
      <c r="F23" s="78"/>
      <c r="G23" s="78"/>
      <c r="H23" s="78"/>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row>
    <row r="24" spans="1:34" x14ac:dyDescent="0.2">
      <c r="A24" s="78"/>
      <c r="B24" s="78"/>
      <c r="C24" s="78"/>
      <c r="D24" s="78"/>
      <c r="E24" s="78"/>
      <c r="F24" s="78"/>
      <c r="G24" s="78"/>
      <c r="H24" s="78"/>
      <c r="I24" s="80"/>
      <c r="J24" s="80"/>
      <c r="K24" s="80"/>
      <c r="L24" s="80"/>
      <c r="M24" s="80"/>
      <c r="N24" s="80"/>
      <c r="O24" s="80"/>
      <c r="P24" s="80"/>
      <c r="Q24" s="80"/>
      <c r="R24" s="80"/>
      <c r="S24" s="80"/>
      <c r="T24" s="80"/>
      <c r="U24" s="80"/>
      <c r="V24" s="80"/>
      <c r="W24" s="80"/>
      <c r="X24" s="80"/>
      <c r="Y24" s="80"/>
      <c r="Z24" s="80"/>
      <c r="AA24" s="80"/>
      <c r="AB24" s="80"/>
      <c r="AC24" s="80"/>
      <c r="AD24" s="80"/>
      <c r="AE24" s="80"/>
      <c r="AF24" s="80"/>
      <c r="AG24" s="80"/>
      <c r="AH24" s="80"/>
    </row>
    <row r="25" spans="1:34" x14ac:dyDescent="0.2">
      <c r="A25" s="78"/>
      <c r="B25" s="78"/>
      <c r="C25" s="78"/>
      <c r="D25" s="78"/>
      <c r="E25" s="78"/>
      <c r="F25" s="78"/>
      <c r="G25" s="78"/>
      <c r="H25" s="78"/>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row>
    <row r="26" spans="1:34" x14ac:dyDescent="0.2">
      <c r="A26" s="78"/>
      <c r="B26" s="78"/>
      <c r="C26" s="78"/>
      <c r="D26" s="78"/>
      <c r="E26" s="78"/>
      <c r="F26" s="78"/>
      <c r="G26" s="78"/>
      <c r="H26" s="78"/>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row>
    <row r="27" spans="1:34" x14ac:dyDescent="0.2">
      <c r="A27" s="78"/>
      <c r="B27" s="78"/>
      <c r="C27" s="78"/>
      <c r="D27" s="78"/>
      <c r="E27" s="78"/>
      <c r="F27" s="78"/>
      <c r="G27" s="78"/>
      <c r="H27" s="78"/>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row>
    <row r="28" spans="1:34" x14ac:dyDescent="0.2">
      <c r="A28" s="78"/>
      <c r="B28" s="78"/>
      <c r="C28" s="78"/>
      <c r="D28" s="78"/>
      <c r="E28" s="78"/>
      <c r="F28" s="78"/>
      <c r="G28" s="78"/>
      <c r="H28" s="78"/>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row>
    <row r="29" spans="1:34" x14ac:dyDescent="0.2">
      <c r="A29" s="78"/>
      <c r="B29" s="78"/>
      <c r="C29" s="78"/>
      <c r="D29" s="78"/>
      <c r="E29" s="78"/>
      <c r="F29" s="78"/>
      <c r="G29" s="78"/>
      <c r="H29" s="78"/>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row>
    <row r="30" spans="1:34" x14ac:dyDescent="0.2">
      <c r="A30" s="78"/>
      <c r="B30" s="78"/>
      <c r="C30" s="78"/>
      <c r="D30" s="78"/>
      <c r="E30" s="78"/>
      <c r="F30" s="78"/>
      <c r="G30" s="78"/>
      <c r="H30" s="78"/>
      <c r="I30" s="80"/>
      <c r="J30" s="80"/>
      <c r="K30" s="80"/>
      <c r="L30" s="80"/>
      <c r="M30" s="80"/>
      <c r="N30" s="80"/>
      <c r="O30" s="80"/>
      <c r="P30" s="80"/>
      <c r="Q30" s="80"/>
      <c r="R30" s="80"/>
      <c r="S30" s="80"/>
      <c r="T30" s="80"/>
      <c r="U30" s="80"/>
      <c r="V30" s="80"/>
      <c r="W30" s="80"/>
      <c r="X30" s="80"/>
      <c r="Y30" s="80"/>
      <c r="Z30" s="80"/>
      <c r="AA30" s="80"/>
      <c r="AB30" s="80"/>
      <c r="AC30" s="80"/>
      <c r="AD30" s="80"/>
      <c r="AE30" s="80"/>
      <c r="AF30" s="80"/>
      <c r="AG30" s="80"/>
      <c r="AH30" s="80"/>
    </row>
    <row r="31" spans="1:34" x14ac:dyDescent="0.2">
      <c r="A31" s="78"/>
      <c r="B31" s="78"/>
      <c r="C31" s="78"/>
      <c r="D31" s="78"/>
      <c r="E31" s="78"/>
      <c r="F31" s="78"/>
      <c r="G31" s="78"/>
      <c r="H31" s="78"/>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row>
    <row r="32" spans="1:34" x14ac:dyDescent="0.2">
      <c r="A32" s="78"/>
      <c r="B32" s="78"/>
      <c r="C32" s="78"/>
      <c r="D32" s="78"/>
      <c r="E32" s="78"/>
      <c r="F32" s="78"/>
      <c r="G32" s="78"/>
      <c r="H32" s="78"/>
      <c r="I32" s="80"/>
      <c r="J32" s="80"/>
      <c r="K32" s="80"/>
      <c r="L32" s="80"/>
      <c r="M32" s="80"/>
      <c r="N32" s="80"/>
      <c r="O32" s="80"/>
      <c r="P32" s="80"/>
      <c r="Q32" s="80"/>
      <c r="R32" s="80"/>
      <c r="S32" s="80"/>
      <c r="T32" s="80"/>
      <c r="U32" s="80"/>
      <c r="V32" s="80"/>
      <c r="W32" s="80"/>
      <c r="X32" s="80"/>
      <c r="Y32" s="80"/>
      <c r="Z32" s="80"/>
      <c r="AA32" s="80"/>
      <c r="AB32" s="80"/>
      <c r="AC32" s="80"/>
      <c r="AD32" s="80"/>
      <c r="AE32" s="80"/>
      <c r="AF32" s="80"/>
      <c r="AG32" s="80"/>
      <c r="AH32" s="80"/>
    </row>
    <row r="33" spans="1:34" x14ac:dyDescent="0.2">
      <c r="A33" s="79"/>
      <c r="B33" s="79"/>
      <c r="C33" s="79"/>
      <c r="D33" s="79"/>
      <c r="E33" s="79"/>
      <c r="F33" s="79"/>
      <c r="G33" s="79"/>
      <c r="H33" s="79"/>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row>
    <row r="34" spans="1:34" x14ac:dyDescent="0.2">
      <c r="A34" s="79"/>
      <c r="B34" s="79"/>
      <c r="C34" s="79"/>
      <c r="D34" s="79"/>
      <c r="E34" s="79"/>
      <c r="F34" s="79"/>
      <c r="G34" s="79"/>
      <c r="H34" s="79"/>
      <c r="I34" s="80"/>
      <c r="J34" s="80"/>
      <c r="K34" s="80"/>
      <c r="L34" s="80"/>
      <c r="M34" s="80"/>
      <c r="N34" s="80"/>
      <c r="O34" s="80"/>
      <c r="P34" s="80"/>
      <c r="Q34" s="80"/>
      <c r="R34" s="80"/>
      <c r="S34" s="80"/>
      <c r="T34" s="80"/>
      <c r="U34" s="80"/>
      <c r="V34" s="80"/>
      <c r="W34" s="80"/>
      <c r="X34" s="80"/>
      <c r="Y34" s="80"/>
      <c r="Z34" s="80"/>
      <c r="AA34" s="80"/>
      <c r="AB34" s="80"/>
      <c r="AC34" s="80"/>
      <c r="AD34" s="80"/>
      <c r="AE34" s="80"/>
      <c r="AF34" s="80"/>
      <c r="AG34" s="80"/>
      <c r="AH34" s="80"/>
    </row>
    <row r="35" spans="1:34" x14ac:dyDescent="0.2">
      <c r="A35" s="79"/>
      <c r="B35" s="79"/>
      <c r="C35" s="79"/>
      <c r="D35" s="79"/>
      <c r="E35" s="79"/>
      <c r="F35" s="79"/>
      <c r="G35" s="79"/>
      <c r="H35" s="79"/>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row>
    <row r="36" spans="1:34" x14ac:dyDescent="0.2">
      <c r="A36" s="79"/>
      <c r="B36" s="79"/>
      <c r="C36" s="79"/>
      <c r="D36" s="79"/>
      <c r="E36" s="79"/>
      <c r="F36" s="79"/>
      <c r="G36" s="79"/>
      <c r="H36" s="79"/>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row>
    <row r="37" spans="1:34" x14ac:dyDescent="0.2">
      <c r="A37" s="79"/>
      <c r="B37" s="79"/>
      <c r="C37" s="79"/>
      <c r="D37" s="79"/>
      <c r="E37" s="79"/>
      <c r="F37" s="79"/>
      <c r="G37" s="79"/>
      <c r="H37" s="79"/>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row>
    <row r="38" spans="1:34" x14ac:dyDescent="0.2">
      <c r="A38" s="79"/>
      <c r="B38" s="79"/>
      <c r="C38" s="79"/>
      <c r="D38" s="79"/>
      <c r="E38" s="79"/>
      <c r="F38" s="79"/>
      <c r="G38" s="79"/>
      <c r="H38" s="79"/>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row>
    <row r="39" spans="1:34" x14ac:dyDescent="0.2">
      <c r="A39" s="79"/>
      <c r="B39" s="79"/>
      <c r="C39" s="79"/>
      <c r="D39" s="79"/>
      <c r="E39" s="79"/>
      <c r="F39" s="79"/>
      <c r="G39" s="79"/>
      <c r="H39" s="79"/>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row>
    <row r="40" spans="1:34" x14ac:dyDescent="0.2">
      <c r="A40" s="79"/>
      <c r="B40" s="79"/>
      <c r="C40" s="79"/>
      <c r="D40" s="79"/>
      <c r="E40" s="79"/>
      <c r="F40" s="79"/>
      <c r="G40" s="79"/>
      <c r="H40" s="79"/>
      <c r="I40" s="80"/>
      <c r="J40" s="80"/>
      <c r="K40" s="80"/>
      <c r="L40" s="80"/>
      <c r="M40" s="80"/>
      <c r="N40" s="80"/>
      <c r="O40" s="80"/>
      <c r="P40" s="80"/>
      <c r="Q40" s="80"/>
      <c r="R40" s="80"/>
      <c r="S40" s="80"/>
      <c r="T40" s="80"/>
      <c r="U40" s="80"/>
      <c r="V40" s="80"/>
      <c r="W40" s="80"/>
      <c r="X40" s="80"/>
      <c r="Y40" s="80"/>
      <c r="Z40" s="80"/>
      <c r="AA40" s="80"/>
      <c r="AB40" s="80"/>
      <c r="AC40" s="80"/>
      <c r="AD40" s="80"/>
      <c r="AE40" s="80"/>
      <c r="AF40" s="80"/>
      <c r="AG40" s="80"/>
      <c r="AH40" s="80"/>
    </row>
    <row r="41" spans="1:34" x14ac:dyDescent="0.2">
      <c r="A41" s="79"/>
      <c r="B41" s="79"/>
      <c r="C41" s="79"/>
      <c r="D41" s="79"/>
      <c r="E41" s="79"/>
      <c r="F41" s="79"/>
      <c r="G41" s="79"/>
      <c r="H41" s="79"/>
      <c r="I41" s="80"/>
      <c r="J41" s="80"/>
      <c r="K41" s="80"/>
      <c r="L41" s="80"/>
      <c r="M41" s="80"/>
      <c r="N41" s="80"/>
      <c r="O41" s="80"/>
      <c r="P41" s="80"/>
      <c r="Q41" s="80"/>
      <c r="R41" s="80"/>
      <c r="S41" s="80"/>
      <c r="T41" s="80"/>
      <c r="U41" s="80"/>
      <c r="V41" s="80"/>
      <c r="W41" s="80"/>
      <c r="X41" s="80"/>
      <c r="Y41" s="80"/>
      <c r="Z41" s="80"/>
      <c r="AA41" s="80"/>
      <c r="AB41" s="80"/>
      <c r="AC41" s="80"/>
      <c r="AD41" s="80"/>
      <c r="AE41" s="80"/>
      <c r="AF41" s="80"/>
      <c r="AG41" s="80"/>
      <c r="AH41" s="80"/>
    </row>
    <row r="42" spans="1:34" x14ac:dyDescent="0.2">
      <c r="A42" s="79"/>
      <c r="B42" s="79"/>
      <c r="C42" s="79"/>
      <c r="D42" s="79"/>
      <c r="E42" s="79"/>
      <c r="F42" s="79"/>
      <c r="G42" s="79"/>
      <c r="H42" s="79"/>
      <c r="I42" s="80"/>
      <c r="J42" s="80"/>
      <c r="K42" s="80"/>
      <c r="L42" s="80"/>
      <c r="M42" s="80"/>
      <c r="N42" s="80"/>
      <c r="O42" s="80"/>
      <c r="P42" s="80"/>
      <c r="Q42" s="80"/>
      <c r="R42" s="80"/>
      <c r="S42" s="80"/>
      <c r="T42" s="80"/>
      <c r="U42" s="80"/>
      <c r="V42" s="80"/>
      <c r="W42" s="80"/>
      <c r="X42" s="80"/>
      <c r="Y42" s="80"/>
      <c r="Z42" s="80"/>
      <c r="AA42" s="80"/>
      <c r="AB42" s="80"/>
      <c r="AC42" s="80"/>
      <c r="AD42" s="80"/>
      <c r="AE42" s="80"/>
      <c r="AF42" s="80"/>
      <c r="AG42" s="80"/>
      <c r="AH42" s="80"/>
    </row>
    <row r="43" spans="1:34" x14ac:dyDescent="0.2">
      <c r="A43" s="79"/>
      <c r="B43" s="79"/>
      <c r="C43" s="79"/>
      <c r="D43" s="79"/>
      <c r="E43" s="79"/>
      <c r="F43" s="79"/>
      <c r="G43" s="79"/>
      <c r="H43" s="79"/>
      <c r="I43" s="80"/>
      <c r="J43" s="80"/>
      <c r="K43" s="80"/>
      <c r="L43" s="80"/>
      <c r="M43" s="80"/>
      <c r="N43" s="80"/>
      <c r="O43" s="80"/>
      <c r="P43" s="80"/>
      <c r="Q43" s="80"/>
      <c r="R43" s="80"/>
      <c r="S43" s="80"/>
      <c r="T43" s="80"/>
      <c r="U43" s="80"/>
      <c r="V43" s="80"/>
      <c r="W43" s="80"/>
      <c r="X43" s="80"/>
      <c r="Y43" s="80"/>
      <c r="Z43" s="80"/>
      <c r="AA43" s="80"/>
      <c r="AB43" s="80"/>
      <c r="AC43" s="80"/>
      <c r="AD43" s="80"/>
      <c r="AE43" s="80"/>
      <c r="AF43" s="80"/>
      <c r="AG43" s="80"/>
      <c r="AH43" s="80"/>
    </row>
    <row r="44" spans="1:34" x14ac:dyDescent="0.2">
      <c r="A44" s="79"/>
      <c r="B44" s="79"/>
      <c r="C44" s="79"/>
      <c r="D44" s="79"/>
      <c r="E44" s="79"/>
      <c r="F44" s="79"/>
      <c r="G44" s="79"/>
      <c r="H44" s="79"/>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row>
    <row r="45" spans="1:34" x14ac:dyDescent="0.2">
      <c r="A45" s="79"/>
      <c r="B45" s="79"/>
      <c r="C45" s="79"/>
      <c r="D45" s="79"/>
      <c r="E45" s="79"/>
      <c r="F45" s="79"/>
      <c r="G45" s="79"/>
      <c r="H45" s="79"/>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row>
    <row r="46" spans="1:34" x14ac:dyDescent="0.2">
      <c r="A46" s="79"/>
      <c r="B46" s="79"/>
      <c r="C46" s="79"/>
      <c r="D46" s="79"/>
      <c r="E46" s="79"/>
      <c r="F46" s="79"/>
      <c r="G46" s="79"/>
      <c r="H46" s="79"/>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row>
    <row r="47" spans="1:34" x14ac:dyDescent="0.2">
      <c r="A47" s="79"/>
      <c r="B47" s="79"/>
      <c r="C47" s="79"/>
      <c r="D47" s="79"/>
      <c r="E47" s="79"/>
      <c r="F47" s="79"/>
      <c r="G47" s="79"/>
      <c r="H47" s="79"/>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row>
    <row r="48" spans="1:34" x14ac:dyDescent="0.2">
      <c r="A48" s="79"/>
      <c r="B48" s="79"/>
      <c r="C48" s="79"/>
      <c r="D48" s="79"/>
      <c r="E48" s="79"/>
      <c r="F48" s="79"/>
      <c r="G48" s="79"/>
      <c r="H48" s="79"/>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row>
    <row r="49" spans="1:34" x14ac:dyDescent="0.2">
      <c r="A49" s="78"/>
      <c r="B49" s="78"/>
      <c r="C49" s="78"/>
      <c r="D49" s="78"/>
      <c r="E49" s="78"/>
      <c r="F49" s="78"/>
      <c r="G49" s="78"/>
      <c r="H49" s="78"/>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row>
    <row r="50" spans="1:34" x14ac:dyDescent="0.2">
      <c r="A50" s="78"/>
      <c r="B50" s="78"/>
      <c r="C50" s="78"/>
      <c r="D50" s="78"/>
      <c r="E50" s="78"/>
      <c r="F50" s="78"/>
      <c r="G50" s="78"/>
      <c r="H50" s="78"/>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row>
    <row r="51" spans="1:34" x14ac:dyDescent="0.2">
      <c r="A51" s="78"/>
      <c r="B51" s="78"/>
      <c r="C51" s="78"/>
      <c r="D51" s="78"/>
      <c r="E51" s="78"/>
      <c r="F51" s="78"/>
      <c r="G51" s="78"/>
      <c r="H51" s="78"/>
      <c r="I51" s="80"/>
      <c r="J51" s="80"/>
      <c r="K51" s="80"/>
      <c r="L51" s="80"/>
      <c r="M51" s="80"/>
      <c r="N51" s="80"/>
      <c r="O51" s="80"/>
      <c r="P51" s="80"/>
      <c r="Q51" s="80"/>
      <c r="R51" s="80"/>
      <c r="S51" s="80"/>
      <c r="T51" s="80"/>
      <c r="U51" s="80"/>
      <c r="V51" s="80"/>
      <c r="W51" s="80"/>
      <c r="X51" s="80"/>
      <c r="Y51" s="80"/>
      <c r="Z51" s="80"/>
      <c r="AA51" s="80"/>
      <c r="AB51" s="80"/>
      <c r="AC51" s="80"/>
      <c r="AD51" s="80"/>
      <c r="AE51" s="80"/>
      <c r="AF51" s="80"/>
      <c r="AG51" s="80"/>
      <c r="AH51" s="80"/>
    </row>
    <row r="52" spans="1:34" x14ac:dyDescent="0.2">
      <c r="A52" s="78"/>
      <c r="B52" s="78"/>
      <c r="C52" s="78"/>
      <c r="D52" s="78"/>
      <c r="E52" s="78"/>
      <c r="F52" s="78"/>
      <c r="G52" s="78"/>
      <c r="H52" s="78"/>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row>
    <row r="53" spans="1:34" x14ac:dyDescent="0.2">
      <c r="A53" s="78"/>
      <c r="B53" s="78"/>
      <c r="C53" s="78"/>
      <c r="D53" s="78"/>
      <c r="E53" s="78"/>
      <c r="F53" s="78"/>
      <c r="G53" s="78"/>
      <c r="H53" s="78"/>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row>
    <row r="54" spans="1:34" x14ac:dyDescent="0.2">
      <c r="A54" s="78"/>
      <c r="B54" s="78"/>
      <c r="C54" s="78"/>
      <c r="D54" s="78"/>
      <c r="E54" s="78"/>
      <c r="F54" s="78"/>
      <c r="G54" s="78"/>
      <c r="H54" s="78"/>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row>
    <row r="55" spans="1:34" x14ac:dyDescent="0.2">
      <c r="A55" s="78"/>
      <c r="B55" s="78"/>
      <c r="C55" s="78"/>
      <c r="D55" s="78"/>
      <c r="E55" s="78"/>
      <c r="F55" s="78"/>
      <c r="G55" s="78"/>
      <c r="H55" s="78"/>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row>
    <row r="56" spans="1:34" x14ac:dyDescent="0.2">
      <c r="A56" s="78"/>
      <c r="B56" s="78"/>
      <c r="C56" s="78"/>
      <c r="D56" s="78"/>
      <c r="E56" s="78"/>
      <c r="F56" s="78"/>
      <c r="G56" s="78"/>
      <c r="H56" s="78"/>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row>
    <row r="57" spans="1:34" x14ac:dyDescent="0.2">
      <c r="A57" s="80"/>
      <c r="B57" s="80"/>
      <c r="C57" s="80"/>
      <c r="D57" s="80"/>
      <c r="E57" s="80"/>
      <c r="F57" s="80"/>
      <c r="G57" s="80"/>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row>
    <row r="58" spans="1:34" x14ac:dyDescent="0.2">
      <c r="A58" s="80"/>
      <c r="B58" s="80"/>
      <c r="C58" s="80"/>
      <c r="D58" s="80"/>
      <c r="E58" s="80"/>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row>
    <row r="59" spans="1:34" x14ac:dyDescent="0.2">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row>
    <row r="60" spans="1:34" x14ac:dyDescent="0.2">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row>
    <row r="61" spans="1:34" x14ac:dyDescent="0.2">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row>
    <row r="62" spans="1:34" x14ac:dyDescent="0.2">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row>
    <row r="63" spans="1:34" x14ac:dyDescent="0.2">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row>
    <row r="64" spans="1:34" x14ac:dyDescent="0.2">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row>
    <row r="65" spans="1:34" x14ac:dyDescent="0.2">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row>
    <row r="66" spans="1:34" x14ac:dyDescent="0.2">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c r="AH66" s="80"/>
    </row>
    <row r="67" spans="1:34" x14ac:dyDescent="0.2">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c r="AA67" s="80"/>
      <c r="AB67" s="80"/>
      <c r="AC67" s="80"/>
      <c r="AD67" s="80"/>
      <c r="AE67" s="80"/>
      <c r="AF67" s="80"/>
      <c r="AG67" s="80"/>
      <c r="AH67" s="80"/>
    </row>
    <row r="68" spans="1:34" x14ac:dyDescent="0.2">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row>
    <row r="69" spans="1:34" x14ac:dyDescent="0.2">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c r="AA69" s="80"/>
      <c r="AB69" s="80"/>
      <c r="AC69" s="80"/>
      <c r="AD69" s="80"/>
      <c r="AE69" s="80"/>
      <c r="AF69" s="80"/>
      <c r="AG69" s="80"/>
      <c r="AH69" s="80"/>
    </row>
    <row r="70" spans="1:34" x14ac:dyDescent="0.2">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c r="AA70" s="80"/>
      <c r="AB70" s="80"/>
      <c r="AC70" s="80"/>
      <c r="AD70" s="80"/>
      <c r="AE70" s="80"/>
      <c r="AF70" s="80"/>
      <c r="AG70" s="80"/>
      <c r="AH70" s="80"/>
    </row>
    <row r="71" spans="1:34" x14ac:dyDescent="0.2">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c r="AA71" s="80"/>
      <c r="AB71" s="80"/>
      <c r="AC71" s="80"/>
      <c r="AD71" s="80"/>
      <c r="AE71" s="80"/>
      <c r="AF71" s="80"/>
      <c r="AG71" s="80"/>
      <c r="AH71" s="80"/>
    </row>
    <row r="72" spans="1:34" x14ac:dyDescent="0.2">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row>
    <row r="73" spans="1:34" x14ac:dyDescent="0.2">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row>
    <row r="74" spans="1:34" x14ac:dyDescent="0.2">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row>
    <row r="75" spans="1:34" x14ac:dyDescent="0.2">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row>
    <row r="76" spans="1:34" x14ac:dyDescent="0.2">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c r="AA76" s="80"/>
      <c r="AB76" s="80"/>
      <c r="AC76" s="80"/>
      <c r="AD76" s="80"/>
      <c r="AE76" s="80"/>
      <c r="AF76" s="80"/>
      <c r="AG76" s="80"/>
      <c r="AH76" s="80"/>
    </row>
    <row r="77" spans="1:34" x14ac:dyDescent="0.2">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c r="AA77" s="80"/>
      <c r="AB77" s="80"/>
      <c r="AC77" s="80"/>
      <c r="AD77" s="80"/>
      <c r="AE77" s="80"/>
      <c r="AF77" s="80"/>
      <c r="AG77" s="80"/>
      <c r="AH77" s="80"/>
    </row>
    <row r="78" spans="1:34" x14ac:dyDescent="0.2">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c r="AA78" s="80"/>
      <c r="AB78" s="80"/>
      <c r="AC78" s="80"/>
      <c r="AD78" s="80"/>
      <c r="AE78" s="80"/>
      <c r="AF78" s="80"/>
      <c r="AG78" s="80"/>
      <c r="AH78" s="80"/>
    </row>
    <row r="79" spans="1:34" x14ac:dyDescent="0.2">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c r="AA79" s="80"/>
      <c r="AB79" s="80"/>
      <c r="AC79" s="80"/>
      <c r="AD79" s="80"/>
      <c r="AE79" s="80"/>
      <c r="AF79" s="80"/>
      <c r="AG79" s="80"/>
      <c r="AH79" s="80"/>
    </row>
    <row r="80" spans="1:34" x14ac:dyDescent="0.2">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c r="AA80" s="80"/>
      <c r="AB80" s="80"/>
      <c r="AC80" s="80"/>
      <c r="AD80" s="80"/>
      <c r="AE80" s="80"/>
      <c r="AF80" s="80"/>
      <c r="AG80" s="80"/>
      <c r="AH80" s="80"/>
    </row>
    <row r="81" spans="1:34" x14ac:dyDescent="0.2">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row>
    <row r="82" spans="1:34" x14ac:dyDescent="0.2">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c r="AA82" s="80"/>
      <c r="AB82" s="80"/>
      <c r="AC82" s="80"/>
      <c r="AD82" s="80"/>
      <c r="AE82" s="80"/>
      <c r="AF82" s="80"/>
      <c r="AG82" s="80"/>
      <c r="AH82" s="80"/>
    </row>
    <row r="83" spans="1:34" x14ac:dyDescent="0.2">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c r="AA83" s="80"/>
      <c r="AB83" s="80"/>
      <c r="AC83" s="80"/>
      <c r="AD83" s="80"/>
      <c r="AE83" s="80"/>
      <c r="AF83" s="80"/>
      <c r="AG83" s="80"/>
      <c r="AH83" s="80"/>
    </row>
    <row r="84" spans="1:34" x14ac:dyDescent="0.2">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c r="AA84" s="80"/>
      <c r="AB84" s="80"/>
      <c r="AC84" s="80"/>
      <c r="AD84" s="80"/>
      <c r="AE84" s="80"/>
      <c r="AF84" s="80"/>
      <c r="AG84" s="80"/>
      <c r="AH84" s="80"/>
    </row>
    <row r="85" spans="1:34" x14ac:dyDescent="0.2">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row>
    <row r="86" spans="1:34" x14ac:dyDescent="0.2">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c r="AA86" s="80"/>
      <c r="AB86" s="80"/>
      <c r="AC86" s="80"/>
      <c r="AD86" s="80"/>
      <c r="AE86" s="80"/>
      <c r="AF86" s="80"/>
      <c r="AG86" s="80"/>
      <c r="AH86" s="80"/>
    </row>
    <row r="87" spans="1:34" x14ac:dyDescent="0.2">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c r="AA87" s="80"/>
      <c r="AB87" s="80"/>
      <c r="AC87" s="80"/>
      <c r="AD87" s="80"/>
      <c r="AE87" s="80"/>
      <c r="AF87" s="80"/>
      <c r="AG87" s="80"/>
      <c r="AH87" s="80"/>
    </row>
    <row r="88" spans="1:34" x14ac:dyDescent="0.2">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c r="AA88" s="80"/>
      <c r="AB88" s="80"/>
      <c r="AC88" s="80"/>
      <c r="AD88" s="80"/>
      <c r="AE88" s="80"/>
      <c r="AF88" s="80"/>
      <c r="AG88" s="80"/>
      <c r="AH88" s="80"/>
    </row>
    <row r="89" spans="1:34" x14ac:dyDescent="0.2">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c r="AA89" s="80"/>
      <c r="AB89" s="80"/>
      <c r="AC89" s="80"/>
      <c r="AD89" s="80"/>
      <c r="AE89" s="80"/>
      <c r="AF89" s="80"/>
      <c r="AG89" s="80"/>
      <c r="AH89" s="80"/>
    </row>
    <row r="90" spans="1:34" x14ac:dyDescent="0.2">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c r="AA90" s="80"/>
      <c r="AB90" s="80"/>
      <c r="AC90" s="80"/>
      <c r="AD90" s="80"/>
      <c r="AE90" s="80"/>
      <c r="AF90" s="80"/>
      <c r="AG90" s="80"/>
      <c r="AH90" s="80"/>
    </row>
    <row r="91" spans="1:34" x14ac:dyDescent="0.2">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c r="AA91" s="80"/>
      <c r="AB91" s="80"/>
      <c r="AC91" s="80"/>
      <c r="AD91" s="80"/>
      <c r="AE91" s="80"/>
      <c r="AF91" s="80"/>
      <c r="AG91" s="80"/>
      <c r="AH91" s="80"/>
    </row>
    <row r="92" spans="1:34" x14ac:dyDescent="0.2">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row>
    <row r="93" spans="1:34" x14ac:dyDescent="0.2">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c r="AA93" s="80"/>
      <c r="AB93" s="80"/>
      <c r="AC93" s="80"/>
      <c r="AD93" s="80"/>
      <c r="AE93" s="80"/>
      <c r="AF93" s="80"/>
      <c r="AG93" s="80"/>
      <c r="AH93" s="80"/>
    </row>
    <row r="94" spans="1:34" x14ac:dyDescent="0.2">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c r="AA94" s="80"/>
      <c r="AB94" s="80"/>
      <c r="AC94" s="80"/>
      <c r="AD94" s="80"/>
      <c r="AE94" s="80"/>
      <c r="AF94" s="80"/>
      <c r="AG94" s="80"/>
      <c r="AH94" s="80"/>
    </row>
    <row r="95" spans="1:34" x14ac:dyDescent="0.2">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c r="AA95" s="80"/>
      <c r="AB95" s="80"/>
      <c r="AC95" s="80"/>
      <c r="AD95" s="80"/>
      <c r="AE95" s="80"/>
      <c r="AF95" s="80"/>
      <c r="AG95" s="80"/>
      <c r="AH95" s="80"/>
    </row>
    <row r="96" spans="1:34" x14ac:dyDescent="0.2">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c r="AA96" s="80"/>
      <c r="AB96" s="80"/>
      <c r="AC96" s="80"/>
      <c r="AD96" s="80"/>
      <c r="AE96" s="80"/>
      <c r="AF96" s="80"/>
      <c r="AG96" s="80"/>
      <c r="AH96" s="80"/>
    </row>
    <row r="97" spans="1:34" x14ac:dyDescent="0.2">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c r="AA97" s="80"/>
      <c r="AB97" s="80"/>
      <c r="AC97" s="80"/>
      <c r="AD97" s="80"/>
      <c r="AE97" s="80"/>
      <c r="AF97" s="80"/>
      <c r="AG97" s="80"/>
      <c r="AH97" s="80"/>
    </row>
    <row r="98" spans="1:34" x14ac:dyDescent="0.2">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row>
    <row r="99" spans="1:34" x14ac:dyDescent="0.2">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c r="AA99" s="80"/>
      <c r="AB99" s="80"/>
      <c r="AC99" s="80"/>
      <c r="AD99" s="80"/>
      <c r="AE99" s="80"/>
      <c r="AF99" s="80"/>
      <c r="AG99" s="80"/>
      <c r="AH99" s="80"/>
    </row>
    <row r="100" spans="1:34" x14ac:dyDescent="0.2">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c r="AA100" s="80"/>
      <c r="AB100" s="80"/>
      <c r="AC100" s="80"/>
      <c r="AD100" s="80"/>
      <c r="AE100" s="80"/>
      <c r="AF100" s="80"/>
      <c r="AG100" s="80"/>
      <c r="AH100" s="80"/>
    </row>
    <row r="101" spans="1:34" x14ac:dyDescent="0.2">
      <c r="A101" s="80"/>
      <c r="B101" s="80"/>
      <c r="C101" s="80"/>
      <c r="D101" s="80"/>
      <c r="E101" s="80"/>
      <c r="F101" s="80"/>
      <c r="G101" s="80"/>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row>
    <row r="102" spans="1:34" x14ac:dyDescent="0.2">
      <c r="A102" s="80"/>
      <c r="B102" s="80"/>
      <c r="C102" s="80"/>
      <c r="D102" s="80"/>
      <c r="E102" s="80"/>
      <c r="F102" s="80"/>
      <c r="G102" s="80"/>
      <c r="H102" s="80"/>
      <c r="I102" s="80"/>
      <c r="J102" s="80"/>
      <c r="K102" s="80"/>
      <c r="L102" s="80"/>
      <c r="M102" s="80"/>
      <c r="N102" s="80"/>
      <c r="O102" s="80"/>
      <c r="P102" s="80"/>
      <c r="Q102" s="80"/>
      <c r="R102" s="80"/>
      <c r="S102" s="80"/>
      <c r="T102" s="80"/>
      <c r="U102" s="80"/>
      <c r="V102" s="80"/>
      <c r="W102" s="80"/>
      <c r="X102" s="80"/>
      <c r="Y102" s="80"/>
      <c r="Z102" s="80"/>
      <c r="AA102" s="80"/>
      <c r="AB102" s="80"/>
      <c r="AC102" s="80"/>
      <c r="AD102" s="80"/>
      <c r="AE102" s="80"/>
      <c r="AF102" s="80"/>
      <c r="AG102" s="80"/>
      <c r="AH102" s="80"/>
    </row>
    <row r="103" spans="1:34" x14ac:dyDescent="0.2">
      <c r="A103" s="80"/>
      <c r="B103" s="80"/>
      <c r="C103" s="80"/>
      <c r="D103" s="80"/>
      <c r="E103" s="80"/>
      <c r="F103" s="80"/>
      <c r="G103" s="80"/>
      <c r="H103" s="80"/>
      <c r="I103" s="80"/>
      <c r="J103" s="80"/>
      <c r="K103" s="80"/>
      <c r="L103" s="80"/>
      <c r="M103" s="80"/>
      <c r="N103" s="80"/>
      <c r="O103" s="80"/>
      <c r="P103" s="80"/>
      <c r="Q103" s="80"/>
      <c r="R103" s="80"/>
      <c r="S103" s="80"/>
      <c r="T103" s="80"/>
      <c r="U103" s="80"/>
      <c r="V103" s="80"/>
      <c r="W103" s="80"/>
      <c r="X103" s="80"/>
      <c r="Y103" s="80"/>
      <c r="Z103" s="80"/>
      <c r="AA103" s="80"/>
      <c r="AB103" s="80"/>
      <c r="AC103" s="80"/>
      <c r="AD103" s="80"/>
      <c r="AE103" s="80"/>
      <c r="AF103" s="80"/>
      <c r="AG103" s="80"/>
      <c r="AH103" s="80"/>
    </row>
    <row r="104" spans="1:34" x14ac:dyDescent="0.2">
      <c r="A104" s="80"/>
      <c r="B104" s="80"/>
      <c r="C104" s="80"/>
      <c r="D104" s="80"/>
      <c r="E104" s="80"/>
      <c r="F104" s="80"/>
      <c r="G104" s="80"/>
      <c r="H104" s="80"/>
      <c r="I104" s="80"/>
      <c r="J104" s="80"/>
      <c r="K104" s="80"/>
      <c r="L104" s="80"/>
      <c r="M104" s="80"/>
      <c r="N104" s="80"/>
      <c r="O104" s="80"/>
      <c r="P104" s="80"/>
      <c r="Q104" s="80"/>
      <c r="R104" s="80"/>
      <c r="S104" s="80"/>
      <c r="T104" s="80"/>
      <c r="U104" s="80"/>
      <c r="V104" s="80"/>
      <c r="W104" s="80"/>
      <c r="X104" s="80"/>
      <c r="Y104" s="80"/>
      <c r="Z104" s="80"/>
      <c r="AA104" s="80"/>
      <c r="AB104" s="80"/>
      <c r="AC104" s="80"/>
      <c r="AD104" s="80"/>
      <c r="AE104" s="80"/>
      <c r="AF104" s="80"/>
      <c r="AG104" s="80"/>
      <c r="AH104" s="80"/>
    </row>
    <row r="105" spans="1:34" x14ac:dyDescent="0.2">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row>
    <row r="106" spans="1:34" x14ac:dyDescent="0.2">
      <c r="A106" s="80"/>
      <c r="B106" s="80"/>
      <c r="C106" s="80"/>
      <c r="D106" s="80"/>
      <c r="E106" s="80"/>
      <c r="F106" s="80"/>
      <c r="G106" s="80"/>
      <c r="H106" s="80"/>
      <c r="I106" s="80"/>
      <c r="J106" s="80"/>
      <c r="K106" s="80"/>
      <c r="L106" s="80"/>
      <c r="M106" s="80"/>
      <c r="N106" s="80"/>
      <c r="O106" s="80"/>
      <c r="P106" s="80"/>
      <c r="Q106" s="80"/>
      <c r="R106" s="80"/>
      <c r="S106" s="80"/>
      <c r="T106" s="80"/>
      <c r="U106" s="80"/>
      <c r="V106" s="80"/>
      <c r="W106" s="80"/>
      <c r="X106" s="80"/>
      <c r="Y106" s="80"/>
      <c r="Z106" s="80"/>
      <c r="AA106" s="80"/>
      <c r="AB106" s="80"/>
      <c r="AC106" s="80"/>
      <c r="AD106" s="80"/>
      <c r="AE106" s="80"/>
      <c r="AF106" s="80"/>
      <c r="AG106" s="80"/>
      <c r="AH106" s="80"/>
    </row>
    <row r="107" spans="1:34" x14ac:dyDescent="0.2">
      <c r="A107" s="80"/>
      <c r="B107" s="80"/>
      <c r="C107" s="80"/>
      <c r="D107" s="80"/>
      <c r="E107" s="80"/>
      <c r="F107" s="80"/>
      <c r="G107" s="80"/>
      <c r="H107" s="80"/>
      <c r="I107" s="80"/>
      <c r="J107" s="80"/>
      <c r="K107" s="80"/>
      <c r="L107" s="80"/>
      <c r="M107" s="80"/>
      <c r="N107" s="80"/>
      <c r="O107" s="80"/>
      <c r="P107" s="80"/>
      <c r="Q107" s="80"/>
      <c r="R107" s="80"/>
      <c r="S107" s="80"/>
      <c r="T107" s="80"/>
      <c r="U107" s="80"/>
      <c r="V107" s="80"/>
      <c r="W107" s="80"/>
      <c r="X107" s="80"/>
      <c r="Y107" s="80"/>
      <c r="Z107" s="80"/>
      <c r="AA107" s="80"/>
      <c r="AB107" s="80"/>
      <c r="AC107" s="80"/>
      <c r="AD107" s="80"/>
      <c r="AE107" s="80"/>
      <c r="AF107" s="80"/>
      <c r="AG107" s="80"/>
      <c r="AH107" s="80"/>
    </row>
    <row r="108" spans="1:34" x14ac:dyDescent="0.2">
      <c r="A108" s="80"/>
      <c r="B108" s="80"/>
      <c r="C108" s="80"/>
      <c r="D108" s="80"/>
      <c r="E108" s="80"/>
      <c r="F108" s="80"/>
      <c r="G108" s="80"/>
      <c r="H108" s="80"/>
      <c r="I108" s="80"/>
      <c r="J108" s="80"/>
      <c r="K108" s="80"/>
      <c r="L108" s="80"/>
      <c r="M108" s="80"/>
      <c r="N108" s="80"/>
      <c r="O108" s="80"/>
      <c r="P108" s="80"/>
      <c r="Q108" s="80"/>
      <c r="R108" s="80"/>
      <c r="S108" s="80"/>
      <c r="T108" s="80"/>
      <c r="U108" s="80"/>
      <c r="V108" s="80"/>
      <c r="W108" s="80"/>
      <c r="X108" s="80"/>
      <c r="Y108" s="80"/>
      <c r="Z108" s="80"/>
      <c r="AA108" s="80"/>
      <c r="AB108" s="80"/>
      <c r="AC108" s="80"/>
      <c r="AD108" s="80"/>
      <c r="AE108" s="80"/>
      <c r="AF108" s="80"/>
      <c r="AG108" s="80"/>
      <c r="AH108" s="80"/>
    </row>
    <row r="109" spans="1:34" x14ac:dyDescent="0.2">
      <c r="A109" s="80"/>
      <c r="B109" s="80"/>
      <c r="C109" s="80"/>
      <c r="D109" s="80"/>
      <c r="E109" s="80"/>
      <c r="F109" s="80"/>
      <c r="G109" s="80"/>
      <c r="H109" s="80"/>
      <c r="I109" s="80"/>
      <c r="J109" s="80"/>
      <c r="K109" s="80"/>
      <c r="L109" s="80"/>
      <c r="M109" s="80"/>
      <c r="N109" s="80"/>
      <c r="O109" s="80"/>
      <c r="P109" s="80"/>
      <c r="Q109" s="80"/>
      <c r="R109" s="80"/>
      <c r="S109" s="80"/>
      <c r="T109" s="80"/>
      <c r="U109" s="80"/>
      <c r="V109" s="80"/>
      <c r="W109" s="80"/>
      <c r="X109" s="80"/>
      <c r="Y109" s="80"/>
      <c r="Z109" s="80"/>
      <c r="AA109" s="80"/>
      <c r="AB109" s="80"/>
      <c r="AC109" s="80"/>
      <c r="AD109" s="80"/>
      <c r="AE109" s="80"/>
      <c r="AF109" s="80"/>
      <c r="AG109" s="80"/>
      <c r="AH109" s="80"/>
    </row>
    <row r="110" spans="1:34" x14ac:dyDescent="0.2">
      <c r="A110" s="80"/>
      <c r="B110" s="80"/>
      <c r="C110" s="80"/>
      <c r="D110" s="80"/>
      <c r="E110" s="80"/>
      <c r="F110" s="80"/>
      <c r="G110" s="80"/>
      <c r="H110" s="80"/>
      <c r="I110" s="80"/>
      <c r="J110" s="80"/>
      <c r="K110" s="80"/>
      <c r="L110" s="80"/>
      <c r="M110" s="80"/>
      <c r="N110" s="80"/>
      <c r="O110" s="80"/>
      <c r="P110" s="80"/>
      <c r="Q110" s="80"/>
      <c r="R110" s="80"/>
      <c r="S110" s="80"/>
      <c r="T110" s="80"/>
      <c r="U110" s="80"/>
      <c r="V110" s="80"/>
      <c r="W110" s="80"/>
      <c r="X110" s="80"/>
      <c r="Y110" s="80"/>
      <c r="Z110" s="80"/>
      <c r="AA110" s="80"/>
      <c r="AB110" s="80"/>
      <c r="AC110" s="80"/>
      <c r="AD110" s="80"/>
      <c r="AE110" s="80"/>
      <c r="AF110" s="80"/>
      <c r="AG110" s="80"/>
      <c r="AH110" s="80"/>
    </row>
    <row r="111" spans="1:34" x14ac:dyDescent="0.2">
      <c r="A111" s="80"/>
      <c r="B111" s="80"/>
      <c r="C111" s="80"/>
      <c r="D111" s="80"/>
      <c r="E111" s="80"/>
      <c r="F111" s="80"/>
      <c r="G111" s="80"/>
      <c r="H111" s="80"/>
      <c r="I111" s="80"/>
      <c r="J111" s="80"/>
      <c r="K111" s="80"/>
      <c r="L111" s="80"/>
      <c r="M111" s="80"/>
      <c r="N111" s="80"/>
      <c r="O111" s="80"/>
      <c r="P111" s="80"/>
      <c r="Q111" s="80"/>
      <c r="R111" s="80"/>
      <c r="S111" s="80"/>
      <c r="T111" s="80"/>
      <c r="U111" s="80"/>
      <c r="V111" s="80"/>
      <c r="W111" s="80"/>
      <c r="X111" s="80"/>
      <c r="Y111" s="80"/>
      <c r="Z111" s="80"/>
      <c r="AA111" s="80"/>
      <c r="AB111" s="80"/>
      <c r="AC111" s="80"/>
      <c r="AD111" s="80"/>
      <c r="AE111" s="80"/>
      <c r="AF111" s="80"/>
      <c r="AG111" s="80"/>
      <c r="AH111" s="80"/>
    </row>
    <row r="112" spans="1:34" x14ac:dyDescent="0.2">
      <c r="A112" s="80"/>
      <c r="B112" s="80"/>
      <c r="C112" s="80"/>
      <c r="D112" s="80"/>
      <c r="E112" s="80"/>
      <c r="F112" s="80"/>
      <c r="G112" s="80"/>
      <c r="H112" s="80"/>
      <c r="I112" s="80"/>
      <c r="J112" s="80"/>
      <c r="K112" s="80"/>
      <c r="L112" s="80"/>
      <c r="M112" s="80"/>
      <c r="N112" s="80"/>
      <c r="O112" s="80"/>
      <c r="P112" s="80"/>
      <c r="Q112" s="80"/>
      <c r="R112" s="80"/>
      <c r="S112" s="80"/>
      <c r="T112" s="80"/>
      <c r="U112" s="80"/>
      <c r="V112" s="80"/>
      <c r="W112" s="80"/>
      <c r="X112" s="80"/>
      <c r="Y112" s="80"/>
      <c r="Z112" s="80"/>
      <c r="AA112" s="80"/>
      <c r="AB112" s="80"/>
      <c r="AC112" s="80"/>
      <c r="AD112" s="80"/>
      <c r="AE112" s="80"/>
      <c r="AF112" s="80"/>
      <c r="AG112" s="80"/>
      <c r="AH112" s="80"/>
    </row>
    <row r="113" spans="1:34" x14ac:dyDescent="0.2">
      <c r="A113" s="80"/>
      <c r="B113" s="80"/>
      <c r="C113" s="80"/>
      <c r="D113" s="80"/>
      <c r="E113" s="80"/>
      <c r="F113" s="80"/>
      <c r="G113" s="80"/>
      <c r="H113" s="80"/>
      <c r="I113" s="80"/>
      <c r="J113" s="80"/>
      <c r="K113" s="80"/>
      <c r="L113" s="80"/>
      <c r="M113" s="80"/>
      <c r="N113" s="80"/>
      <c r="O113" s="80"/>
      <c r="P113" s="80"/>
      <c r="Q113" s="80"/>
      <c r="R113" s="80"/>
      <c r="S113" s="80"/>
      <c r="T113" s="80"/>
      <c r="U113" s="80"/>
      <c r="V113" s="80"/>
      <c r="W113" s="80"/>
      <c r="X113" s="80"/>
      <c r="Y113" s="80"/>
      <c r="Z113" s="80"/>
      <c r="AA113" s="80"/>
      <c r="AB113" s="80"/>
      <c r="AC113" s="80"/>
      <c r="AD113" s="80"/>
      <c r="AE113" s="80"/>
      <c r="AF113" s="80"/>
      <c r="AG113" s="80"/>
      <c r="AH113" s="80"/>
    </row>
    <row r="114" spans="1:34" x14ac:dyDescent="0.2">
      <c r="A114" s="80"/>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row>
    <row r="115" spans="1:34" x14ac:dyDescent="0.2">
      <c r="A115" s="80"/>
      <c r="B115" s="80"/>
      <c r="C115" s="80"/>
      <c r="D115" s="80"/>
      <c r="E115" s="80"/>
      <c r="F115" s="80"/>
      <c r="G115" s="80"/>
      <c r="H115" s="80"/>
      <c r="I115" s="80"/>
      <c r="J115" s="80"/>
      <c r="K115" s="80"/>
      <c r="L115" s="80"/>
      <c r="M115" s="80"/>
      <c r="N115" s="80"/>
      <c r="O115" s="80"/>
      <c r="P115" s="80"/>
      <c r="Q115" s="80"/>
      <c r="R115" s="80"/>
      <c r="S115" s="80"/>
      <c r="T115" s="80"/>
      <c r="U115" s="80"/>
      <c r="V115" s="80"/>
      <c r="W115" s="80"/>
      <c r="X115" s="80"/>
      <c r="Y115" s="80"/>
      <c r="Z115" s="80"/>
      <c r="AA115" s="80"/>
      <c r="AB115" s="80"/>
      <c r="AC115" s="80"/>
      <c r="AD115" s="80"/>
      <c r="AE115" s="80"/>
      <c r="AF115" s="80"/>
      <c r="AG115" s="80"/>
      <c r="AH115" s="80"/>
    </row>
    <row r="116" spans="1:34" x14ac:dyDescent="0.2">
      <c r="A116" s="80"/>
      <c r="B116" s="80"/>
      <c r="C116" s="80"/>
      <c r="D116" s="80"/>
      <c r="E116" s="80"/>
      <c r="F116" s="80"/>
      <c r="G116" s="80"/>
      <c r="H116" s="80"/>
      <c r="I116" s="80"/>
      <c r="J116" s="80"/>
      <c r="K116" s="80"/>
      <c r="L116" s="80"/>
      <c r="M116" s="80"/>
      <c r="N116" s="80"/>
      <c r="O116" s="80"/>
      <c r="P116" s="80"/>
      <c r="Q116" s="80"/>
      <c r="R116" s="80"/>
      <c r="S116" s="80"/>
      <c r="T116" s="80"/>
      <c r="U116" s="80"/>
      <c r="V116" s="80"/>
      <c r="W116" s="80"/>
      <c r="X116" s="80"/>
      <c r="Y116" s="80"/>
      <c r="Z116" s="80"/>
      <c r="AA116" s="80"/>
      <c r="AB116" s="80"/>
      <c r="AC116" s="80"/>
      <c r="AD116" s="80"/>
      <c r="AE116" s="80"/>
      <c r="AF116" s="80"/>
      <c r="AG116" s="80"/>
      <c r="AH116" s="80"/>
    </row>
    <row r="117" spans="1:34" x14ac:dyDescent="0.2">
      <c r="A117" s="80"/>
      <c r="B117" s="80"/>
      <c r="C117" s="80"/>
      <c r="D117" s="80"/>
      <c r="E117" s="80"/>
      <c r="F117" s="80"/>
      <c r="G117" s="80"/>
      <c r="H117" s="80"/>
      <c r="I117" s="80"/>
      <c r="J117" s="80"/>
      <c r="K117" s="80"/>
      <c r="L117" s="80"/>
      <c r="M117" s="80"/>
      <c r="N117" s="80"/>
      <c r="O117" s="80"/>
      <c r="P117" s="80"/>
      <c r="Q117" s="80"/>
      <c r="R117" s="80"/>
      <c r="S117" s="80"/>
      <c r="T117" s="80"/>
      <c r="U117" s="80"/>
      <c r="V117" s="80"/>
      <c r="W117" s="80"/>
      <c r="X117" s="80"/>
      <c r="Y117" s="80"/>
      <c r="Z117" s="80"/>
      <c r="AA117" s="80"/>
      <c r="AB117" s="80"/>
      <c r="AC117" s="80"/>
      <c r="AD117" s="80"/>
      <c r="AE117" s="80"/>
      <c r="AF117" s="80"/>
      <c r="AG117" s="80"/>
      <c r="AH117" s="80"/>
    </row>
    <row r="118" spans="1:34" x14ac:dyDescent="0.2">
      <c r="A118" s="80"/>
      <c r="B118" s="80"/>
      <c r="C118" s="80"/>
      <c r="D118" s="80"/>
      <c r="E118" s="80"/>
      <c r="F118" s="80"/>
      <c r="G118" s="80"/>
      <c r="H118" s="80"/>
      <c r="I118" s="80"/>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row>
    <row r="119" spans="1:34" x14ac:dyDescent="0.2">
      <c r="A119" s="80"/>
      <c r="B119" s="80"/>
      <c r="C119" s="80"/>
      <c r="D119" s="80"/>
      <c r="E119" s="80"/>
      <c r="F119" s="80"/>
      <c r="G119" s="80"/>
      <c r="H119" s="80"/>
      <c r="I119" s="80"/>
      <c r="J119" s="80"/>
      <c r="K119" s="80"/>
      <c r="L119" s="80"/>
      <c r="M119" s="80"/>
      <c r="N119" s="80"/>
      <c r="O119" s="80"/>
      <c r="P119" s="80"/>
      <c r="Q119" s="80"/>
      <c r="R119" s="80"/>
      <c r="S119" s="80"/>
      <c r="T119" s="80"/>
      <c r="U119" s="80"/>
      <c r="V119" s="80"/>
      <c r="W119" s="80"/>
      <c r="X119" s="80"/>
      <c r="Y119" s="80"/>
      <c r="Z119" s="80"/>
      <c r="AA119" s="80"/>
      <c r="AB119" s="80"/>
      <c r="AC119" s="80"/>
      <c r="AD119" s="80"/>
      <c r="AE119" s="80"/>
      <c r="AF119" s="80"/>
      <c r="AG119" s="80"/>
      <c r="AH119" s="80"/>
    </row>
    <row r="120" spans="1:34" x14ac:dyDescent="0.2">
      <c r="A120" s="80"/>
      <c r="B120" s="80"/>
      <c r="C120" s="80"/>
      <c r="D120" s="80"/>
      <c r="E120" s="80"/>
      <c r="F120" s="80"/>
      <c r="G120" s="80"/>
      <c r="H120" s="80"/>
      <c r="I120" s="80"/>
      <c r="J120" s="80"/>
      <c r="K120" s="80"/>
      <c r="L120" s="80"/>
      <c r="M120" s="80"/>
      <c r="N120" s="80"/>
      <c r="O120" s="80"/>
      <c r="P120" s="80"/>
      <c r="Q120" s="80"/>
      <c r="R120" s="80"/>
      <c r="S120" s="80"/>
      <c r="T120" s="80"/>
      <c r="U120" s="80"/>
      <c r="V120" s="80"/>
      <c r="W120" s="80"/>
      <c r="X120" s="80"/>
      <c r="Y120" s="80"/>
      <c r="Z120" s="80"/>
      <c r="AA120" s="80"/>
      <c r="AB120" s="80"/>
      <c r="AC120" s="80"/>
      <c r="AD120" s="80"/>
      <c r="AE120" s="80"/>
      <c r="AF120" s="80"/>
      <c r="AG120" s="80"/>
      <c r="AH120" s="80"/>
    </row>
    <row r="121" spans="1:34" x14ac:dyDescent="0.2">
      <c r="A121" s="80"/>
      <c r="B121" s="80"/>
      <c r="C121" s="80"/>
      <c r="D121" s="80"/>
      <c r="E121" s="80"/>
      <c r="F121" s="80"/>
      <c r="G121" s="80"/>
      <c r="H121" s="80"/>
      <c r="I121" s="80"/>
      <c r="J121" s="80"/>
      <c r="K121" s="80"/>
      <c r="L121" s="80"/>
      <c r="M121" s="80"/>
      <c r="N121" s="80"/>
      <c r="O121" s="80"/>
      <c r="P121" s="80"/>
      <c r="Q121" s="80"/>
      <c r="R121" s="80"/>
      <c r="S121" s="80"/>
      <c r="T121" s="80"/>
      <c r="U121" s="80"/>
      <c r="V121" s="80"/>
      <c r="W121" s="80"/>
      <c r="X121" s="80"/>
      <c r="Y121" s="80"/>
      <c r="Z121" s="80"/>
      <c r="AA121" s="80"/>
      <c r="AB121" s="80"/>
      <c r="AC121" s="80"/>
      <c r="AD121" s="80"/>
      <c r="AE121" s="80"/>
      <c r="AF121" s="80"/>
      <c r="AG121" s="80"/>
      <c r="AH121" s="80"/>
    </row>
    <row r="122" spans="1:34" x14ac:dyDescent="0.2">
      <c r="A122" s="80"/>
      <c r="B122" s="80"/>
      <c r="C122" s="80"/>
      <c r="D122" s="80"/>
      <c r="E122" s="80"/>
      <c r="F122" s="80"/>
      <c r="G122" s="80"/>
      <c r="H122" s="80"/>
      <c r="I122" s="80"/>
      <c r="J122" s="80"/>
      <c r="K122" s="80"/>
      <c r="L122" s="80"/>
      <c r="M122" s="80"/>
      <c r="N122" s="80"/>
      <c r="O122" s="80"/>
      <c r="P122" s="80"/>
      <c r="Q122" s="80"/>
      <c r="R122" s="80"/>
      <c r="S122" s="80"/>
      <c r="T122" s="80"/>
      <c r="U122" s="80"/>
      <c r="V122" s="80"/>
      <c r="W122" s="80"/>
      <c r="X122" s="80"/>
      <c r="Y122" s="80"/>
      <c r="Z122" s="80"/>
      <c r="AA122" s="80"/>
      <c r="AB122" s="80"/>
      <c r="AC122" s="80"/>
      <c r="AD122" s="80"/>
      <c r="AE122" s="80"/>
      <c r="AF122" s="80"/>
      <c r="AG122" s="80"/>
      <c r="AH122" s="80"/>
    </row>
    <row r="123" spans="1:34" x14ac:dyDescent="0.2">
      <c r="A123" s="80"/>
      <c r="B123" s="80"/>
      <c r="C123" s="80"/>
      <c r="D123" s="80"/>
      <c r="E123" s="80"/>
      <c r="F123" s="80"/>
      <c r="G123" s="80"/>
      <c r="H123" s="80"/>
      <c r="I123" s="80"/>
      <c r="J123" s="80"/>
      <c r="K123" s="80"/>
      <c r="L123" s="80"/>
      <c r="M123" s="80"/>
      <c r="N123" s="80"/>
      <c r="O123" s="80"/>
      <c r="P123" s="80"/>
      <c r="Q123" s="80"/>
      <c r="R123" s="80"/>
      <c r="S123" s="80"/>
      <c r="T123" s="80"/>
      <c r="U123" s="80"/>
      <c r="V123" s="80"/>
      <c r="W123" s="80"/>
      <c r="X123" s="80"/>
      <c r="Y123" s="80"/>
      <c r="Z123" s="80"/>
      <c r="AA123" s="80"/>
      <c r="AB123" s="80"/>
      <c r="AC123" s="80"/>
      <c r="AD123" s="80"/>
      <c r="AE123" s="80"/>
      <c r="AF123" s="80"/>
      <c r="AG123" s="80"/>
      <c r="AH123" s="80"/>
    </row>
    <row r="124" spans="1:34" x14ac:dyDescent="0.2">
      <c r="A124" s="80"/>
      <c r="B124" s="80"/>
      <c r="C124" s="80"/>
      <c r="D124" s="80"/>
      <c r="E124" s="80"/>
      <c r="F124" s="80"/>
      <c r="G124" s="80"/>
      <c r="H124" s="80"/>
      <c r="I124" s="80"/>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row>
    <row r="125" spans="1:34" x14ac:dyDescent="0.2">
      <c r="A125" s="80"/>
      <c r="B125" s="80"/>
      <c r="C125" s="80"/>
      <c r="D125" s="80"/>
      <c r="E125" s="80"/>
      <c r="F125" s="80"/>
      <c r="G125" s="80"/>
      <c r="H125" s="80"/>
      <c r="I125" s="80"/>
      <c r="J125" s="80"/>
      <c r="K125" s="80"/>
      <c r="L125" s="80"/>
      <c r="M125" s="80"/>
      <c r="N125" s="80"/>
      <c r="O125" s="80"/>
      <c r="P125" s="80"/>
      <c r="Q125" s="80"/>
      <c r="R125" s="80"/>
      <c r="S125" s="80"/>
      <c r="T125" s="80"/>
      <c r="U125" s="80"/>
      <c r="V125" s="80"/>
      <c r="W125" s="80"/>
      <c r="X125" s="80"/>
      <c r="Y125" s="80"/>
      <c r="Z125" s="80"/>
      <c r="AA125" s="80"/>
      <c r="AB125" s="80"/>
      <c r="AC125" s="80"/>
      <c r="AD125" s="80"/>
      <c r="AE125" s="80"/>
      <c r="AF125" s="80"/>
      <c r="AG125" s="80"/>
      <c r="AH125" s="80"/>
    </row>
    <row r="126" spans="1:34" x14ac:dyDescent="0.2">
      <c r="A126" s="80"/>
      <c r="B126" s="80"/>
      <c r="C126" s="80"/>
      <c r="D126" s="80"/>
      <c r="E126" s="80"/>
      <c r="F126" s="80"/>
      <c r="G126" s="80"/>
      <c r="H126" s="80"/>
      <c r="I126" s="80"/>
      <c r="J126" s="80"/>
      <c r="K126" s="80"/>
      <c r="L126" s="80"/>
      <c r="M126" s="80"/>
      <c r="N126" s="80"/>
      <c r="O126" s="80"/>
      <c r="P126" s="80"/>
      <c r="Q126" s="80"/>
      <c r="R126" s="80"/>
      <c r="S126" s="80"/>
      <c r="T126" s="80"/>
      <c r="U126" s="80"/>
      <c r="V126" s="80"/>
      <c r="W126" s="80"/>
      <c r="X126" s="80"/>
      <c r="Y126" s="80"/>
      <c r="Z126" s="80"/>
      <c r="AA126" s="80"/>
      <c r="AB126" s="80"/>
      <c r="AC126" s="80"/>
      <c r="AD126" s="80"/>
      <c r="AE126" s="80"/>
      <c r="AF126" s="80"/>
      <c r="AG126" s="80"/>
      <c r="AH126" s="80"/>
    </row>
    <row r="127" spans="1:34" x14ac:dyDescent="0.2">
      <c r="A127" s="80"/>
      <c r="B127" s="80"/>
      <c r="C127" s="80"/>
      <c r="D127" s="80"/>
      <c r="E127" s="80"/>
      <c r="F127" s="80"/>
      <c r="G127" s="80"/>
      <c r="H127" s="80"/>
      <c r="I127" s="80"/>
      <c r="J127" s="80"/>
      <c r="K127" s="80"/>
      <c r="L127" s="80"/>
      <c r="M127" s="80"/>
      <c r="N127" s="80"/>
      <c r="O127" s="80"/>
      <c r="P127" s="80"/>
      <c r="Q127" s="80"/>
      <c r="R127" s="80"/>
      <c r="S127" s="80"/>
      <c r="T127" s="80"/>
      <c r="U127" s="80"/>
      <c r="V127" s="80"/>
      <c r="W127" s="80"/>
      <c r="X127" s="80"/>
      <c r="Y127" s="80"/>
      <c r="Z127" s="80"/>
      <c r="AA127" s="80"/>
      <c r="AB127" s="80"/>
      <c r="AC127" s="80"/>
      <c r="AD127" s="80"/>
      <c r="AE127" s="80"/>
      <c r="AF127" s="80"/>
      <c r="AG127" s="80"/>
      <c r="AH127" s="80"/>
    </row>
    <row r="128" spans="1:34" x14ac:dyDescent="0.2">
      <c r="A128" s="80"/>
      <c r="B128" s="80"/>
      <c r="C128" s="80"/>
      <c r="D128" s="80"/>
      <c r="E128" s="80"/>
      <c r="F128" s="80"/>
      <c r="G128" s="80"/>
      <c r="H128" s="80"/>
      <c r="I128" s="80"/>
      <c r="J128" s="80"/>
      <c r="K128" s="80"/>
      <c r="L128" s="80"/>
      <c r="M128" s="80"/>
      <c r="N128" s="80"/>
      <c r="O128" s="80"/>
      <c r="P128" s="80"/>
      <c r="Q128" s="80"/>
      <c r="R128" s="80"/>
      <c r="S128" s="80"/>
      <c r="T128" s="80"/>
      <c r="U128" s="80"/>
      <c r="V128" s="80"/>
      <c r="W128" s="80"/>
      <c r="X128" s="80"/>
      <c r="Y128" s="80"/>
      <c r="Z128" s="80"/>
      <c r="AA128" s="80"/>
      <c r="AB128" s="80"/>
      <c r="AC128" s="80"/>
      <c r="AD128" s="80"/>
      <c r="AE128" s="80"/>
      <c r="AF128" s="80"/>
      <c r="AG128" s="80"/>
      <c r="AH128" s="80"/>
    </row>
    <row r="129" spans="1:34" x14ac:dyDescent="0.2">
      <c r="A129" s="80"/>
      <c r="B129" s="80"/>
      <c r="C129" s="80"/>
      <c r="D129" s="80"/>
      <c r="E129" s="80"/>
      <c r="F129" s="80"/>
      <c r="G129" s="80"/>
      <c r="H129" s="80"/>
      <c r="I129" s="80"/>
      <c r="J129" s="80"/>
      <c r="K129" s="80"/>
      <c r="L129" s="80"/>
      <c r="M129" s="80"/>
      <c r="N129" s="80"/>
      <c r="O129" s="80"/>
      <c r="P129" s="80"/>
      <c r="Q129" s="80"/>
      <c r="R129" s="80"/>
      <c r="S129" s="80"/>
      <c r="T129" s="80"/>
      <c r="U129" s="80"/>
      <c r="V129" s="80"/>
      <c r="W129" s="80"/>
      <c r="X129" s="80"/>
      <c r="Y129" s="80"/>
      <c r="Z129" s="80"/>
      <c r="AA129" s="80"/>
      <c r="AB129" s="80"/>
      <c r="AC129" s="80"/>
      <c r="AD129" s="80"/>
      <c r="AE129" s="80"/>
      <c r="AF129" s="80"/>
      <c r="AG129" s="80"/>
      <c r="AH129" s="80"/>
    </row>
    <row r="130" spans="1:34" x14ac:dyDescent="0.2">
      <c r="A130" s="80"/>
      <c r="B130" s="80"/>
      <c r="C130" s="80"/>
      <c r="D130" s="80"/>
      <c r="E130" s="80"/>
      <c r="F130" s="80"/>
      <c r="G130" s="80"/>
      <c r="H130" s="80"/>
      <c r="I130" s="80"/>
      <c r="J130" s="80"/>
      <c r="K130" s="80"/>
      <c r="L130" s="80"/>
      <c r="M130" s="80"/>
      <c r="N130" s="80"/>
      <c r="O130" s="80"/>
      <c r="P130" s="80"/>
      <c r="Q130" s="80"/>
      <c r="R130" s="80"/>
      <c r="S130" s="80"/>
      <c r="T130" s="80"/>
      <c r="U130" s="80"/>
      <c r="V130" s="80"/>
      <c r="W130" s="80"/>
      <c r="X130" s="80"/>
      <c r="Y130" s="80"/>
      <c r="Z130" s="80"/>
      <c r="AA130" s="80"/>
      <c r="AB130" s="80"/>
      <c r="AC130" s="80"/>
      <c r="AD130" s="80"/>
      <c r="AE130" s="80"/>
      <c r="AF130" s="80"/>
      <c r="AG130" s="80"/>
      <c r="AH130" s="80"/>
    </row>
    <row r="131" spans="1:34" x14ac:dyDescent="0.2">
      <c r="A131" s="80"/>
      <c r="B131" s="80"/>
      <c r="C131" s="80"/>
      <c r="D131" s="80"/>
      <c r="E131" s="80"/>
      <c r="F131" s="80"/>
      <c r="G131" s="80"/>
      <c r="H131" s="80"/>
      <c r="I131" s="80"/>
      <c r="J131" s="80"/>
      <c r="K131" s="80"/>
      <c r="L131" s="80"/>
      <c r="M131" s="80"/>
      <c r="N131" s="80"/>
      <c r="O131" s="80"/>
      <c r="P131" s="80"/>
      <c r="Q131" s="80"/>
      <c r="R131" s="80"/>
      <c r="S131" s="80"/>
      <c r="T131" s="80"/>
      <c r="U131" s="80"/>
      <c r="V131" s="80"/>
      <c r="W131" s="80"/>
      <c r="X131" s="80"/>
      <c r="Y131" s="80"/>
      <c r="Z131" s="80"/>
      <c r="AA131" s="80"/>
      <c r="AB131" s="80"/>
      <c r="AC131" s="80"/>
      <c r="AD131" s="80"/>
      <c r="AE131" s="80"/>
      <c r="AF131" s="80"/>
      <c r="AG131" s="80"/>
      <c r="AH131" s="80"/>
    </row>
    <row r="132" spans="1:34" x14ac:dyDescent="0.2">
      <c r="A132" s="80"/>
      <c r="B132" s="80"/>
      <c r="C132" s="80"/>
      <c r="D132" s="80"/>
      <c r="E132" s="80"/>
      <c r="F132" s="80"/>
      <c r="G132" s="80"/>
      <c r="H132" s="80"/>
      <c r="I132" s="80"/>
      <c r="J132" s="80"/>
      <c r="K132" s="80"/>
      <c r="L132" s="80"/>
      <c r="M132" s="80"/>
      <c r="N132" s="80"/>
      <c r="O132" s="80"/>
      <c r="P132" s="80"/>
      <c r="Q132" s="80"/>
      <c r="R132" s="80"/>
      <c r="S132" s="80"/>
      <c r="T132" s="80"/>
      <c r="U132" s="80"/>
      <c r="V132" s="80"/>
      <c r="W132" s="80"/>
      <c r="X132" s="80"/>
      <c r="Y132" s="80"/>
      <c r="Z132" s="80"/>
      <c r="AA132" s="80"/>
      <c r="AB132" s="80"/>
      <c r="AC132" s="80"/>
      <c r="AD132" s="80"/>
      <c r="AE132" s="80"/>
      <c r="AF132" s="80"/>
      <c r="AG132" s="80"/>
      <c r="AH132" s="80"/>
    </row>
    <row r="133" spans="1:34" x14ac:dyDescent="0.2">
      <c r="A133" s="80"/>
      <c r="B133" s="80"/>
      <c r="C133" s="80"/>
      <c r="D133" s="80"/>
      <c r="E133" s="80"/>
      <c r="F133" s="80"/>
      <c r="G133" s="80"/>
      <c r="H133" s="80"/>
      <c r="I133" s="80"/>
      <c r="J133" s="80"/>
      <c r="K133" s="80"/>
      <c r="L133" s="80"/>
      <c r="M133" s="80"/>
      <c r="N133" s="80"/>
      <c r="O133" s="80"/>
      <c r="P133" s="80"/>
      <c r="Q133" s="80"/>
      <c r="R133" s="80"/>
      <c r="S133" s="80"/>
      <c r="T133" s="80"/>
      <c r="U133" s="80"/>
      <c r="V133" s="80"/>
      <c r="W133" s="80"/>
      <c r="X133" s="80"/>
      <c r="Y133" s="80"/>
      <c r="Z133" s="80"/>
      <c r="AA133" s="80"/>
      <c r="AB133" s="80"/>
      <c r="AC133" s="80"/>
      <c r="AD133" s="80"/>
      <c r="AE133" s="80"/>
      <c r="AF133" s="80"/>
      <c r="AG133" s="80"/>
      <c r="AH133" s="80"/>
    </row>
    <row r="134" spans="1:34" x14ac:dyDescent="0.2">
      <c r="A134" s="80"/>
      <c r="B134" s="80"/>
      <c r="C134" s="80"/>
      <c r="D134" s="80"/>
      <c r="E134" s="80"/>
      <c r="F134" s="80"/>
      <c r="G134" s="80"/>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row>
    <row r="135" spans="1:34" x14ac:dyDescent="0.2">
      <c r="A135" s="80"/>
      <c r="B135" s="80"/>
      <c r="C135" s="80"/>
      <c r="D135" s="80"/>
      <c r="E135" s="80"/>
      <c r="F135" s="80"/>
      <c r="G135" s="80"/>
      <c r="H135" s="80"/>
      <c r="I135" s="80"/>
      <c r="J135" s="80"/>
      <c r="K135" s="80"/>
      <c r="L135" s="80"/>
      <c r="M135" s="80"/>
      <c r="N135" s="80"/>
      <c r="O135" s="80"/>
      <c r="P135" s="80"/>
      <c r="Q135" s="80"/>
      <c r="R135" s="80"/>
      <c r="S135" s="80"/>
      <c r="T135" s="80"/>
      <c r="U135" s="80"/>
      <c r="V135" s="80"/>
      <c r="W135" s="80"/>
      <c r="X135" s="80"/>
      <c r="Y135" s="80"/>
      <c r="Z135" s="80"/>
      <c r="AA135" s="80"/>
      <c r="AB135" s="80"/>
      <c r="AC135" s="80"/>
      <c r="AD135" s="80"/>
      <c r="AE135" s="80"/>
      <c r="AF135" s="80"/>
      <c r="AG135" s="80"/>
      <c r="AH135" s="80"/>
    </row>
    <row r="136" spans="1:34" x14ac:dyDescent="0.2">
      <c r="A136" s="80"/>
      <c r="B136" s="80"/>
      <c r="C136" s="80"/>
      <c r="D136" s="80"/>
      <c r="E136" s="80"/>
      <c r="F136" s="80"/>
      <c r="G136" s="80"/>
      <c r="H136" s="80"/>
      <c r="I136" s="80"/>
      <c r="J136" s="80"/>
      <c r="K136" s="80"/>
      <c r="L136" s="80"/>
      <c r="M136" s="80"/>
      <c r="N136" s="80"/>
      <c r="O136" s="80"/>
      <c r="P136" s="80"/>
      <c r="Q136" s="80"/>
      <c r="R136" s="80"/>
      <c r="S136" s="80"/>
      <c r="T136" s="80"/>
      <c r="U136" s="80"/>
      <c r="V136" s="80"/>
      <c r="W136" s="80"/>
      <c r="X136" s="80"/>
      <c r="Y136" s="80"/>
      <c r="Z136" s="80"/>
      <c r="AA136" s="80"/>
      <c r="AB136" s="80"/>
      <c r="AC136" s="80"/>
      <c r="AD136" s="80"/>
      <c r="AE136" s="80"/>
      <c r="AF136" s="80"/>
      <c r="AG136" s="80"/>
      <c r="AH136" s="80"/>
    </row>
    <row r="137" spans="1:34" x14ac:dyDescent="0.2">
      <c r="A137" s="80"/>
      <c r="B137" s="80"/>
      <c r="C137" s="80"/>
      <c r="D137" s="80"/>
      <c r="E137" s="80"/>
      <c r="F137" s="80"/>
      <c r="G137" s="80"/>
      <c r="H137" s="80"/>
      <c r="I137" s="80"/>
      <c r="J137" s="80"/>
      <c r="K137" s="80"/>
      <c r="L137" s="80"/>
      <c r="M137" s="80"/>
      <c r="N137" s="80"/>
      <c r="O137" s="80"/>
      <c r="P137" s="80"/>
      <c r="Q137" s="80"/>
      <c r="R137" s="80"/>
      <c r="S137" s="80"/>
      <c r="T137" s="80"/>
      <c r="U137" s="80"/>
      <c r="V137" s="80"/>
      <c r="W137" s="80"/>
      <c r="X137" s="80"/>
      <c r="Y137" s="80"/>
      <c r="Z137" s="80"/>
      <c r="AA137" s="80"/>
      <c r="AB137" s="80"/>
      <c r="AC137" s="80"/>
      <c r="AD137" s="80"/>
      <c r="AE137" s="80"/>
      <c r="AF137" s="80"/>
      <c r="AG137" s="80"/>
      <c r="AH137" s="80"/>
    </row>
    <row r="138" spans="1:34" x14ac:dyDescent="0.2">
      <c r="A138" s="80"/>
      <c r="B138" s="80"/>
      <c r="C138" s="80"/>
      <c r="D138" s="80"/>
      <c r="E138" s="80"/>
      <c r="F138" s="80"/>
      <c r="G138" s="80"/>
      <c r="H138" s="80"/>
      <c r="I138" s="80"/>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row>
    <row r="139" spans="1:34" x14ac:dyDescent="0.2">
      <c r="A139" s="80"/>
      <c r="B139" s="80"/>
      <c r="C139" s="80"/>
      <c r="D139" s="80"/>
      <c r="E139" s="80"/>
      <c r="F139" s="80"/>
      <c r="G139" s="80"/>
      <c r="H139" s="80"/>
      <c r="I139" s="80"/>
      <c r="J139" s="80"/>
      <c r="K139" s="80"/>
      <c r="L139" s="80"/>
      <c r="M139" s="80"/>
      <c r="N139" s="80"/>
      <c r="O139" s="80"/>
      <c r="P139" s="80"/>
      <c r="Q139" s="80"/>
      <c r="R139" s="80"/>
      <c r="S139" s="80"/>
      <c r="T139" s="80"/>
      <c r="U139" s="80"/>
      <c r="V139" s="80"/>
      <c r="W139" s="80"/>
      <c r="X139" s="80"/>
      <c r="Y139" s="80"/>
      <c r="Z139" s="80"/>
      <c r="AA139" s="80"/>
      <c r="AB139" s="80"/>
      <c r="AC139" s="80"/>
      <c r="AD139" s="80"/>
      <c r="AE139" s="80"/>
      <c r="AF139" s="80"/>
      <c r="AG139" s="80"/>
      <c r="AH139" s="80"/>
    </row>
    <row r="140" spans="1:34" x14ac:dyDescent="0.2">
      <c r="A140" s="80"/>
      <c r="B140" s="80"/>
      <c r="C140" s="80"/>
      <c r="D140" s="80"/>
      <c r="E140" s="80"/>
      <c r="F140" s="80"/>
      <c r="G140" s="80"/>
      <c r="H140" s="80"/>
      <c r="I140" s="80"/>
      <c r="J140" s="80"/>
      <c r="K140" s="80"/>
      <c r="L140" s="80"/>
      <c r="M140" s="80"/>
      <c r="N140" s="80"/>
      <c r="O140" s="80"/>
      <c r="P140" s="80"/>
      <c r="Q140" s="80"/>
      <c r="R140" s="80"/>
      <c r="S140" s="80"/>
      <c r="T140" s="80"/>
      <c r="U140" s="80"/>
      <c r="V140" s="80"/>
      <c r="W140" s="80"/>
      <c r="X140" s="80"/>
      <c r="Y140" s="80"/>
      <c r="Z140" s="80"/>
      <c r="AA140" s="80"/>
      <c r="AB140" s="80"/>
      <c r="AC140" s="80"/>
      <c r="AD140" s="80"/>
      <c r="AE140" s="80"/>
      <c r="AF140" s="80"/>
      <c r="AG140" s="80"/>
      <c r="AH140" s="80"/>
    </row>
    <row r="141" spans="1:34" x14ac:dyDescent="0.2">
      <c r="A141" s="80"/>
      <c r="B141" s="80"/>
      <c r="C141" s="80"/>
      <c r="D141" s="80"/>
      <c r="E141" s="80"/>
      <c r="F141" s="80"/>
      <c r="G141" s="80"/>
      <c r="H141" s="80"/>
      <c r="I141" s="80"/>
      <c r="J141" s="80"/>
      <c r="K141" s="80"/>
      <c r="L141" s="80"/>
      <c r="M141" s="80"/>
      <c r="N141" s="80"/>
      <c r="O141" s="80"/>
      <c r="P141" s="80"/>
      <c r="Q141" s="80"/>
      <c r="R141" s="80"/>
      <c r="S141" s="80"/>
      <c r="T141" s="80"/>
      <c r="U141" s="80"/>
      <c r="V141" s="80"/>
      <c r="W141" s="80"/>
      <c r="X141" s="80"/>
      <c r="Y141" s="80"/>
      <c r="Z141" s="80"/>
      <c r="AA141" s="80"/>
      <c r="AB141" s="80"/>
      <c r="AC141" s="80"/>
      <c r="AD141" s="80"/>
      <c r="AE141" s="80"/>
      <c r="AF141" s="80"/>
      <c r="AG141" s="80"/>
      <c r="AH141" s="80"/>
    </row>
    <row r="142" spans="1:34" x14ac:dyDescent="0.2">
      <c r="A142" s="80"/>
      <c r="B142" s="80"/>
      <c r="C142" s="80"/>
      <c r="D142" s="80"/>
      <c r="E142" s="80"/>
      <c r="F142" s="80"/>
      <c r="G142" s="80"/>
      <c r="H142" s="80"/>
      <c r="I142" s="80"/>
      <c r="J142" s="80"/>
      <c r="K142" s="80"/>
      <c r="L142" s="80"/>
      <c r="M142" s="80"/>
      <c r="N142" s="80"/>
      <c r="O142" s="80"/>
      <c r="P142" s="80"/>
      <c r="Q142" s="80"/>
      <c r="R142" s="80"/>
      <c r="S142" s="80"/>
      <c r="T142" s="80"/>
      <c r="U142" s="80"/>
      <c r="V142" s="80"/>
      <c r="W142" s="80"/>
      <c r="X142" s="80"/>
      <c r="Y142" s="80"/>
      <c r="Z142" s="80"/>
      <c r="AA142" s="80"/>
      <c r="AB142" s="80"/>
      <c r="AC142" s="80"/>
      <c r="AD142" s="80"/>
      <c r="AE142" s="80"/>
      <c r="AF142" s="80"/>
      <c r="AG142" s="80"/>
      <c r="AH142" s="80"/>
    </row>
    <row r="143" spans="1:34" x14ac:dyDescent="0.2">
      <c r="A143" s="80"/>
      <c r="B143" s="80"/>
      <c r="C143" s="80"/>
      <c r="D143" s="80"/>
      <c r="E143" s="80"/>
      <c r="F143" s="80"/>
      <c r="G143" s="80"/>
      <c r="H143" s="80"/>
      <c r="I143" s="80"/>
      <c r="J143" s="80"/>
      <c r="K143" s="80"/>
      <c r="L143" s="80"/>
      <c r="M143" s="80"/>
      <c r="N143" s="80"/>
      <c r="O143" s="80"/>
      <c r="P143" s="80"/>
      <c r="Q143" s="80"/>
      <c r="R143" s="80"/>
      <c r="S143" s="80"/>
      <c r="T143" s="80"/>
      <c r="U143" s="80"/>
      <c r="V143" s="80"/>
      <c r="W143" s="80"/>
      <c r="X143" s="80"/>
      <c r="Y143" s="80"/>
      <c r="Z143" s="80"/>
      <c r="AA143" s="80"/>
      <c r="AB143" s="80"/>
      <c r="AC143" s="80"/>
      <c r="AD143" s="80"/>
      <c r="AE143" s="80"/>
      <c r="AF143" s="80"/>
      <c r="AG143" s="80"/>
      <c r="AH143" s="80"/>
    </row>
    <row r="144" spans="1:34" x14ac:dyDescent="0.2">
      <c r="A144" s="80"/>
      <c r="B144" s="80"/>
      <c r="C144" s="80"/>
      <c r="D144" s="80"/>
      <c r="E144" s="80"/>
      <c r="F144" s="80"/>
      <c r="G144" s="80"/>
      <c r="H144" s="80"/>
      <c r="I144" s="80"/>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row>
    <row r="145" spans="1:34" x14ac:dyDescent="0.2">
      <c r="A145" s="80"/>
      <c r="B145" s="80"/>
      <c r="C145" s="80"/>
      <c r="D145" s="80"/>
      <c r="E145" s="80"/>
      <c r="F145" s="80"/>
      <c r="G145" s="80"/>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row>
    <row r="146" spans="1:34" x14ac:dyDescent="0.2">
      <c r="A146" s="80"/>
      <c r="B146" s="80"/>
      <c r="C146" s="80"/>
      <c r="D146" s="80"/>
      <c r="E146" s="80"/>
      <c r="F146" s="80"/>
      <c r="G146" s="80"/>
      <c r="H146" s="80"/>
      <c r="I146" s="80"/>
      <c r="J146" s="80"/>
      <c r="K146" s="80"/>
      <c r="L146" s="80"/>
      <c r="M146" s="80"/>
      <c r="N146" s="80"/>
      <c r="O146" s="80"/>
      <c r="P146" s="80"/>
      <c r="Q146" s="80"/>
      <c r="R146" s="80"/>
      <c r="S146" s="80"/>
      <c r="T146" s="80"/>
      <c r="U146" s="80"/>
      <c r="V146" s="80"/>
      <c r="W146" s="80"/>
      <c r="X146" s="80"/>
      <c r="Y146" s="80"/>
      <c r="Z146" s="80"/>
      <c r="AA146" s="80"/>
      <c r="AB146" s="80"/>
      <c r="AC146" s="80"/>
      <c r="AD146" s="80"/>
      <c r="AE146" s="80"/>
      <c r="AF146" s="80"/>
      <c r="AG146" s="80"/>
      <c r="AH146" s="80"/>
    </row>
    <row r="147" spans="1:34" x14ac:dyDescent="0.2">
      <c r="A147" s="80"/>
      <c r="B147" s="80"/>
      <c r="C147" s="80"/>
      <c r="D147" s="80"/>
      <c r="E147" s="80"/>
      <c r="F147" s="80"/>
      <c r="G147" s="80"/>
      <c r="H147" s="80"/>
      <c r="I147" s="80"/>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row>
    <row r="148" spans="1:34" x14ac:dyDescent="0.2">
      <c r="A148" s="80"/>
      <c r="B148" s="80"/>
      <c r="C148" s="80"/>
      <c r="D148" s="80"/>
      <c r="E148" s="80"/>
      <c r="F148" s="80"/>
      <c r="G148" s="80"/>
      <c r="H148" s="80"/>
      <c r="I148" s="80"/>
      <c r="J148" s="80"/>
      <c r="K148" s="80"/>
      <c r="L148" s="80"/>
      <c r="M148" s="80"/>
      <c r="N148" s="80"/>
      <c r="O148" s="80"/>
      <c r="P148" s="80"/>
      <c r="Q148" s="80"/>
      <c r="R148" s="80"/>
      <c r="S148" s="80"/>
      <c r="T148" s="80"/>
      <c r="U148" s="80"/>
      <c r="V148" s="80"/>
      <c r="W148" s="80"/>
      <c r="X148" s="80"/>
      <c r="Y148" s="80"/>
      <c r="Z148" s="80"/>
      <c r="AA148" s="80"/>
      <c r="AB148" s="80"/>
      <c r="AC148" s="80"/>
      <c r="AD148" s="80"/>
      <c r="AE148" s="80"/>
      <c r="AF148" s="80"/>
      <c r="AG148" s="80"/>
      <c r="AH148" s="80"/>
    </row>
    <row r="149" spans="1:34" x14ac:dyDescent="0.2">
      <c r="A149" s="80"/>
      <c r="B149" s="80"/>
      <c r="C149" s="80"/>
      <c r="D149" s="80"/>
      <c r="E149" s="80"/>
      <c r="F149" s="80"/>
      <c r="G149" s="80"/>
      <c r="H149" s="80"/>
      <c r="I149" s="80"/>
      <c r="J149" s="80"/>
      <c r="K149" s="80"/>
      <c r="L149" s="80"/>
      <c r="M149" s="80"/>
      <c r="N149" s="80"/>
      <c r="O149" s="80"/>
      <c r="P149" s="80"/>
      <c r="Q149" s="80"/>
      <c r="R149" s="80"/>
      <c r="S149" s="80"/>
      <c r="T149" s="80"/>
      <c r="U149" s="80"/>
      <c r="V149" s="80"/>
      <c r="W149" s="80"/>
      <c r="X149" s="80"/>
      <c r="Y149" s="80"/>
      <c r="Z149" s="80"/>
      <c r="AA149" s="80"/>
      <c r="AB149" s="80"/>
      <c r="AC149" s="80"/>
      <c r="AD149" s="80"/>
      <c r="AE149" s="80"/>
      <c r="AF149" s="80"/>
      <c r="AG149" s="80"/>
      <c r="AH149" s="80"/>
    </row>
    <row r="150" spans="1:34" x14ac:dyDescent="0.2">
      <c r="A150" s="80"/>
      <c r="B150" s="80"/>
      <c r="C150" s="80"/>
      <c r="D150" s="80"/>
      <c r="E150" s="80"/>
      <c r="F150" s="80"/>
      <c r="G150" s="80"/>
      <c r="H150" s="80"/>
      <c r="I150" s="80"/>
      <c r="J150" s="80"/>
      <c r="K150" s="80"/>
      <c r="L150" s="80"/>
      <c r="M150" s="80"/>
      <c r="N150" s="80"/>
      <c r="O150" s="80"/>
      <c r="P150" s="80"/>
      <c r="Q150" s="80"/>
      <c r="R150" s="80"/>
      <c r="S150" s="80"/>
      <c r="T150" s="80"/>
      <c r="U150" s="80"/>
      <c r="V150" s="80"/>
      <c r="W150" s="80"/>
      <c r="X150" s="80"/>
      <c r="Y150" s="80"/>
      <c r="Z150" s="80"/>
      <c r="AA150" s="80"/>
      <c r="AB150" s="80"/>
      <c r="AC150" s="80"/>
      <c r="AD150" s="80"/>
      <c r="AE150" s="80"/>
      <c r="AF150" s="80"/>
      <c r="AG150" s="80"/>
      <c r="AH150" s="80"/>
    </row>
    <row r="151" spans="1:34" x14ac:dyDescent="0.2">
      <c r="A151" s="80"/>
      <c r="B151" s="80"/>
      <c r="C151" s="80"/>
      <c r="D151" s="80"/>
      <c r="E151" s="80"/>
      <c r="F151" s="80"/>
      <c r="G151" s="80"/>
      <c r="H151" s="80"/>
      <c r="I151" s="80"/>
      <c r="J151" s="80"/>
      <c r="K151" s="80"/>
      <c r="L151" s="80"/>
      <c r="M151" s="80"/>
      <c r="N151" s="80"/>
      <c r="O151" s="80"/>
      <c r="P151" s="80"/>
      <c r="Q151" s="80"/>
      <c r="R151" s="80"/>
      <c r="S151" s="80"/>
      <c r="T151" s="80"/>
      <c r="U151" s="80"/>
      <c r="V151" s="80"/>
      <c r="W151" s="80"/>
      <c r="X151" s="80"/>
      <c r="Y151" s="80"/>
      <c r="Z151" s="80"/>
      <c r="AA151" s="80"/>
      <c r="AB151" s="80"/>
      <c r="AC151" s="80"/>
      <c r="AD151" s="80"/>
      <c r="AE151" s="80"/>
      <c r="AF151" s="80"/>
      <c r="AG151" s="80"/>
      <c r="AH151" s="80"/>
    </row>
    <row r="152" spans="1:34" x14ac:dyDescent="0.2">
      <c r="A152" s="80"/>
      <c r="B152" s="80"/>
      <c r="C152" s="80"/>
      <c r="D152" s="80"/>
      <c r="E152" s="80"/>
      <c r="F152" s="80"/>
      <c r="G152" s="80"/>
      <c r="H152" s="80"/>
      <c r="I152" s="80"/>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row>
    <row r="153" spans="1:34" x14ac:dyDescent="0.2">
      <c r="A153" s="80"/>
      <c r="B153" s="80"/>
      <c r="C153" s="80"/>
      <c r="D153" s="80"/>
      <c r="E153" s="80"/>
      <c r="F153" s="80"/>
      <c r="G153" s="80"/>
      <c r="H153" s="80"/>
      <c r="I153" s="80"/>
      <c r="J153" s="80"/>
      <c r="K153" s="80"/>
      <c r="L153" s="80"/>
      <c r="M153" s="80"/>
      <c r="N153" s="80"/>
      <c r="O153" s="80"/>
      <c r="P153" s="80"/>
      <c r="Q153" s="80"/>
      <c r="R153" s="80"/>
      <c r="S153" s="80"/>
      <c r="T153" s="80"/>
      <c r="U153" s="80"/>
      <c r="V153" s="80"/>
      <c r="W153" s="80"/>
      <c r="X153" s="80"/>
      <c r="Y153" s="80"/>
      <c r="Z153" s="80"/>
      <c r="AA153" s="80"/>
      <c r="AB153" s="80"/>
      <c r="AC153" s="80"/>
      <c r="AD153" s="80"/>
      <c r="AE153" s="80"/>
      <c r="AF153" s="80"/>
      <c r="AG153" s="80"/>
      <c r="AH153" s="80"/>
    </row>
    <row r="154" spans="1:34" x14ac:dyDescent="0.2">
      <c r="A154" s="80"/>
      <c r="B154" s="80"/>
      <c r="C154" s="80"/>
      <c r="D154" s="80"/>
      <c r="E154" s="80"/>
      <c r="F154" s="80"/>
      <c r="G154" s="80"/>
      <c r="H154" s="80"/>
      <c r="I154" s="80"/>
      <c r="J154" s="80"/>
      <c r="K154" s="80"/>
      <c r="L154" s="80"/>
      <c r="M154" s="80"/>
      <c r="N154" s="80"/>
      <c r="O154" s="80"/>
      <c r="P154" s="80"/>
      <c r="Q154" s="80"/>
      <c r="R154" s="80"/>
      <c r="S154" s="80"/>
      <c r="T154" s="80"/>
      <c r="U154" s="80"/>
      <c r="V154" s="80"/>
      <c r="W154" s="80"/>
      <c r="X154" s="80"/>
      <c r="Y154" s="80"/>
      <c r="Z154" s="80"/>
      <c r="AA154" s="80"/>
      <c r="AB154" s="80"/>
      <c r="AC154" s="80"/>
      <c r="AD154" s="80"/>
      <c r="AE154" s="80"/>
      <c r="AF154" s="80"/>
      <c r="AG154" s="80"/>
      <c r="AH154" s="80"/>
    </row>
    <row r="155" spans="1:34" x14ac:dyDescent="0.2">
      <c r="A155" s="80"/>
      <c r="B155" s="80"/>
      <c r="C155" s="80"/>
      <c r="D155" s="80"/>
      <c r="E155" s="80"/>
      <c r="F155" s="80"/>
      <c r="G155" s="80"/>
      <c r="H155" s="80"/>
      <c r="I155" s="80"/>
      <c r="J155" s="80"/>
      <c r="K155" s="80"/>
      <c r="L155" s="80"/>
      <c r="M155" s="80"/>
      <c r="N155" s="80"/>
      <c r="O155" s="80"/>
      <c r="P155" s="80"/>
      <c r="Q155" s="80"/>
      <c r="R155" s="80"/>
      <c r="S155" s="80"/>
      <c r="T155" s="80"/>
      <c r="U155" s="80"/>
      <c r="V155" s="80"/>
      <c r="W155" s="80"/>
      <c r="X155" s="80"/>
      <c r="Y155" s="80"/>
      <c r="Z155" s="80"/>
      <c r="AA155" s="80"/>
      <c r="AB155" s="80"/>
      <c r="AC155" s="80"/>
      <c r="AD155" s="80"/>
      <c r="AE155" s="80"/>
      <c r="AF155" s="80"/>
      <c r="AG155" s="80"/>
      <c r="AH155" s="80"/>
    </row>
    <row r="156" spans="1:34" x14ac:dyDescent="0.2">
      <c r="A156" s="80"/>
      <c r="B156" s="80"/>
      <c r="C156" s="80"/>
      <c r="D156" s="80"/>
      <c r="E156" s="80"/>
      <c r="F156" s="80"/>
      <c r="G156" s="80"/>
      <c r="H156" s="80"/>
      <c r="I156" s="80"/>
      <c r="J156" s="80"/>
      <c r="K156" s="80"/>
      <c r="L156" s="80"/>
      <c r="M156" s="80"/>
      <c r="N156" s="80"/>
      <c r="O156" s="80"/>
      <c r="P156" s="80"/>
      <c r="Q156" s="80"/>
      <c r="R156" s="80"/>
      <c r="S156" s="80"/>
      <c r="T156" s="80"/>
      <c r="U156" s="80"/>
      <c r="V156" s="80"/>
      <c r="W156" s="80"/>
      <c r="X156" s="80"/>
      <c r="Y156" s="80"/>
      <c r="Z156" s="80"/>
      <c r="AA156" s="80"/>
      <c r="AB156" s="80"/>
      <c r="AC156" s="80"/>
      <c r="AD156" s="80"/>
      <c r="AE156" s="80"/>
      <c r="AF156" s="80"/>
      <c r="AG156" s="80"/>
      <c r="AH156" s="80"/>
    </row>
    <row r="157" spans="1:34" x14ac:dyDescent="0.2">
      <c r="A157" s="80"/>
      <c r="B157" s="80"/>
      <c r="C157" s="80"/>
      <c r="D157" s="80"/>
      <c r="E157" s="80"/>
      <c r="F157" s="80"/>
      <c r="G157" s="80"/>
      <c r="H157" s="80"/>
      <c r="I157" s="80"/>
      <c r="J157" s="80"/>
      <c r="K157" s="80"/>
      <c r="L157" s="80"/>
      <c r="M157" s="80"/>
      <c r="N157" s="80"/>
      <c r="O157" s="80"/>
      <c r="P157" s="80"/>
      <c r="Q157" s="80"/>
      <c r="R157" s="80"/>
      <c r="S157" s="80"/>
      <c r="T157" s="80"/>
      <c r="U157" s="80"/>
      <c r="V157" s="80"/>
      <c r="W157" s="80"/>
      <c r="X157" s="80"/>
      <c r="Y157" s="80"/>
      <c r="Z157" s="80"/>
      <c r="AA157" s="80"/>
      <c r="AB157" s="80"/>
      <c r="AC157" s="80"/>
      <c r="AD157" s="80"/>
      <c r="AE157" s="80"/>
      <c r="AF157" s="80"/>
      <c r="AG157" s="80"/>
      <c r="AH157" s="80"/>
    </row>
    <row r="158" spans="1:34" x14ac:dyDescent="0.2">
      <c r="A158" s="80"/>
      <c r="B158" s="80"/>
      <c r="C158" s="80"/>
      <c r="D158" s="80"/>
      <c r="E158" s="80"/>
      <c r="F158" s="80"/>
      <c r="G158" s="80"/>
      <c r="H158" s="80"/>
      <c r="I158" s="80"/>
      <c r="J158" s="80"/>
      <c r="K158" s="80"/>
      <c r="L158" s="80"/>
      <c r="M158" s="80"/>
      <c r="N158" s="80"/>
      <c r="O158" s="80"/>
      <c r="P158" s="80"/>
      <c r="Q158" s="80"/>
      <c r="R158" s="80"/>
      <c r="S158" s="80"/>
      <c r="T158" s="80"/>
      <c r="U158" s="80"/>
      <c r="V158" s="80"/>
      <c r="W158" s="80"/>
      <c r="X158" s="80"/>
      <c r="Y158" s="80"/>
      <c r="Z158" s="80"/>
      <c r="AA158" s="80"/>
      <c r="AB158" s="80"/>
      <c r="AC158" s="80"/>
      <c r="AD158" s="80"/>
      <c r="AE158" s="80"/>
      <c r="AF158" s="80"/>
      <c r="AG158" s="80"/>
      <c r="AH158" s="80"/>
    </row>
    <row r="159" spans="1:34" x14ac:dyDescent="0.2">
      <c r="A159" s="80"/>
      <c r="B159" s="80"/>
      <c r="C159" s="80"/>
      <c r="D159" s="80"/>
      <c r="E159" s="80"/>
      <c r="F159" s="80"/>
      <c r="G159" s="80"/>
      <c r="H159" s="80"/>
      <c r="I159" s="80"/>
      <c r="J159" s="80"/>
      <c r="K159" s="80"/>
      <c r="L159" s="80"/>
      <c r="M159" s="80"/>
      <c r="N159" s="80"/>
      <c r="O159" s="80"/>
      <c r="P159" s="80"/>
      <c r="Q159" s="80"/>
      <c r="R159" s="80"/>
      <c r="S159" s="80"/>
      <c r="T159" s="80"/>
      <c r="U159" s="80"/>
      <c r="V159" s="80"/>
      <c r="W159" s="80"/>
      <c r="X159" s="80"/>
      <c r="Y159" s="80"/>
      <c r="Z159" s="80"/>
      <c r="AA159" s="80"/>
      <c r="AB159" s="80"/>
      <c r="AC159" s="80"/>
      <c r="AD159" s="80"/>
      <c r="AE159" s="80"/>
      <c r="AF159" s="80"/>
      <c r="AG159" s="80"/>
      <c r="AH159" s="80"/>
    </row>
    <row r="160" spans="1:34" x14ac:dyDescent="0.2">
      <c r="A160" s="80"/>
      <c r="B160" s="80"/>
      <c r="C160" s="80"/>
      <c r="D160" s="80"/>
      <c r="E160" s="80"/>
      <c r="F160" s="80"/>
      <c r="G160" s="80"/>
      <c r="H160" s="80"/>
      <c r="I160" s="80"/>
      <c r="J160" s="80"/>
      <c r="K160" s="80"/>
      <c r="L160" s="80"/>
      <c r="M160" s="80"/>
      <c r="N160" s="80"/>
      <c r="O160" s="80"/>
      <c r="P160" s="80"/>
      <c r="Q160" s="80"/>
      <c r="R160" s="80"/>
      <c r="S160" s="80"/>
      <c r="T160" s="80"/>
      <c r="U160" s="80"/>
      <c r="V160" s="80"/>
      <c r="W160" s="80"/>
      <c r="X160" s="80"/>
      <c r="Y160" s="80"/>
      <c r="Z160" s="80"/>
      <c r="AA160" s="80"/>
      <c r="AB160" s="80"/>
      <c r="AC160" s="80"/>
      <c r="AD160" s="80"/>
      <c r="AE160" s="80"/>
      <c r="AF160" s="80"/>
      <c r="AG160" s="80"/>
      <c r="AH160" s="80"/>
    </row>
    <row r="161" spans="1:34" x14ac:dyDescent="0.2">
      <c r="A161" s="80"/>
      <c r="B161" s="80"/>
      <c r="C161" s="80"/>
      <c r="D161" s="80"/>
      <c r="E161" s="80"/>
      <c r="F161" s="80"/>
      <c r="G161" s="80"/>
      <c r="H161" s="80"/>
      <c r="I161" s="80"/>
      <c r="J161" s="80"/>
      <c r="K161" s="80"/>
      <c r="L161" s="80"/>
      <c r="M161" s="80"/>
      <c r="N161" s="80"/>
      <c r="O161" s="80"/>
      <c r="P161" s="80"/>
      <c r="Q161" s="80"/>
      <c r="R161" s="80"/>
      <c r="S161" s="80"/>
      <c r="T161" s="80"/>
      <c r="U161" s="80"/>
      <c r="V161" s="80"/>
      <c r="W161" s="80"/>
      <c r="X161" s="80"/>
      <c r="Y161" s="80"/>
      <c r="Z161" s="80"/>
      <c r="AA161" s="80"/>
      <c r="AB161" s="80"/>
      <c r="AC161" s="80"/>
      <c r="AD161" s="80"/>
      <c r="AE161" s="80"/>
      <c r="AF161" s="80"/>
      <c r="AG161" s="80"/>
      <c r="AH161" s="80"/>
    </row>
    <row r="162" spans="1:34" x14ac:dyDescent="0.2">
      <c r="A162" s="80"/>
      <c r="B162" s="80"/>
      <c r="C162" s="80"/>
      <c r="D162" s="80"/>
      <c r="E162" s="80"/>
      <c r="F162" s="80"/>
      <c r="G162" s="80"/>
      <c r="H162" s="80"/>
      <c r="I162" s="80"/>
      <c r="J162" s="80"/>
      <c r="K162" s="80"/>
      <c r="L162" s="80"/>
      <c r="M162" s="80"/>
      <c r="N162" s="80"/>
      <c r="O162" s="80"/>
      <c r="P162" s="80"/>
      <c r="Q162" s="80"/>
      <c r="R162" s="80"/>
      <c r="S162" s="80"/>
      <c r="T162" s="80"/>
      <c r="U162" s="80"/>
      <c r="V162" s="80"/>
      <c r="W162" s="80"/>
      <c r="X162" s="80"/>
      <c r="Y162" s="80"/>
      <c r="Z162" s="80"/>
      <c r="AA162" s="80"/>
      <c r="AB162" s="80"/>
      <c r="AC162" s="80"/>
      <c r="AD162" s="80"/>
      <c r="AE162" s="80"/>
      <c r="AF162" s="80"/>
      <c r="AG162" s="80"/>
      <c r="AH162" s="80"/>
    </row>
    <row r="163" spans="1:34" x14ac:dyDescent="0.2">
      <c r="A163" s="80"/>
      <c r="B163" s="80"/>
      <c r="C163" s="80"/>
      <c r="D163" s="80"/>
      <c r="E163" s="80"/>
      <c r="F163" s="80"/>
      <c r="G163" s="80"/>
      <c r="H163" s="80"/>
      <c r="I163" s="80"/>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row>
    <row r="164" spans="1:34" x14ac:dyDescent="0.2">
      <c r="A164" s="80"/>
      <c r="B164" s="80"/>
      <c r="C164" s="80"/>
      <c r="D164" s="80"/>
      <c r="E164" s="80"/>
      <c r="F164" s="80"/>
      <c r="G164" s="80"/>
      <c r="H164" s="80"/>
      <c r="I164" s="80"/>
      <c r="J164" s="80"/>
      <c r="K164" s="80"/>
      <c r="L164" s="80"/>
      <c r="M164" s="80"/>
      <c r="N164" s="80"/>
      <c r="O164" s="80"/>
      <c r="P164" s="80"/>
      <c r="Q164" s="80"/>
      <c r="R164" s="80"/>
      <c r="S164" s="80"/>
      <c r="T164" s="80"/>
      <c r="U164" s="80"/>
      <c r="V164" s="80"/>
      <c r="W164" s="80"/>
      <c r="X164" s="80"/>
      <c r="Y164" s="80"/>
      <c r="Z164" s="80"/>
      <c r="AA164" s="80"/>
      <c r="AB164" s="80"/>
      <c r="AC164" s="80"/>
      <c r="AD164" s="80"/>
      <c r="AE164" s="80"/>
      <c r="AF164" s="80"/>
      <c r="AG164" s="80"/>
      <c r="AH164" s="80"/>
    </row>
    <row r="165" spans="1:34" x14ac:dyDescent="0.2">
      <c r="A165" s="80"/>
      <c r="B165" s="80"/>
      <c r="C165" s="80"/>
      <c r="D165" s="80"/>
      <c r="E165" s="80"/>
      <c r="F165" s="80"/>
      <c r="G165" s="80"/>
      <c r="H165" s="80"/>
      <c r="I165" s="80"/>
      <c r="J165" s="80"/>
      <c r="K165" s="80"/>
      <c r="L165" s="80"/>
      <c r="M165" s="80"/>
      <c r="N165" s="80"/>
      <c r="O165" s="80"/>
      <c r="P165" s="80"/>
      <c r="Q165" s="80"/>
      <c r="R165" s="80"/>
      <c r="S165" s="80"/>
      <c r="T165" s="80"/>
      <c r="U165" s="80"/>
      <c r="V165" s="80"/>
      <c r="W165" s="80"/>
      <c r="X165" s="80"/>
      <c r="Y165" s="80"/>
      <c r="Z165" s="80"/>
      <c r="AA165" s="80"/>
      <c r="AB165" s="80"/>
      <c r="AC165" s="80"/>
      <c r="AD165" s="80"/>
      <c r="AE165" s="80"/>
      <c r="AF165" s="80"/>
      <c r="AG165" s="80"/>
      <c r="AH165" s="80"/>
    </row>
    <row r="166" spans="1:34" x14ac:dyDescent="0.2">
      <c r="A166" s="80"/>
      <c r="B166" s="80"/>
      <c r="C166" s="80"/>
      <c r="D166" s="80"/>
      <c r="E166" s="80"/>
      <c r="F166" s="80"/>
      <c r="G166" s="80"/>
      <c r="H166" s="80"/>
      <c r="I166" s="80"/>
      <c r="J166" s="80"/>
      <c r="K166" s="80"/>
      <c r="L166" s="80"/>
      <c r="M166" s="80"/>
      <c r="N166" s="80"/>
      <c r="O166" s="80"/>
      <c r="P166" s="80"/>
      <c r="Q166" s="80"/>
      <c r="R166" s="80"/>
      <c r="S166" s="80"/>
      <c r="T166" s="80"/>
      <c r="U166" s="80"/>
      <c r="V166" s="80"/>
      <c r="W166" s="80"/>
      <c r="X166" s="80"/>
      <c r="Y166" s="80"/>
      <c r="Z166" s="80"/>
      <c r="AA166" s="80"/>
      <c r="AB166" s="80"/>
      <c r="AC166" s="80"/>
      <c r="AD166" s="80"/>
      <c r="AE166" s="80"/>
      <c r="AF166" s="80"/>
      <c r="AG166" s="80"/>
      <c r="AH166" s="80"/>
    </row>
    <row r="167" spans="1:34" x14ac:dyDescent="0.2">
      <c r="A167" s="80"/>
      <c r="B167" s="80"/>
      <c r="C167" s="80"/>
      <c r="D167" s="80"/>
      <c r="E167" s="80"/>
      <c r="F167" s="80"/>
      <c r="G167" s="80"/>
      <c r="H167" s="80"/>
      <c r="I167" s="80"/>
      <c r="J167" s="80"/>
      <c r="K167" s="80"/>
      <c r="L167" s="80"/>
      <c r="M167" s="80"/>
      <c r="N167" s="80"/>
      <c r="O167" s="80"/>
      <c r="P167" s="80"/>
      <c r="Q167" s="80"/>
      <c r="R167" s="80"/>
      <c r="S167" s="80"/>
      <c r="T167" s="80"/>
      <c r="U167" s="80"/>
      <c r="V167" s="80"/>
      <c r="W167" s="80"/>
      <c r="X167" s="80"/>
      <c r="Y167" s="80"/>
      <c r="Z167" s="80"/>
      <c r="AA167" s="80"/>
      <c r="AB167" s="80"/>
      <c r="AC167" s="80"/>
      <c r="AD167" s="80"/>
      <c r="AE167" s="80"/>
      <c r="AF167" s="80"/>
      <c r="AG167" s="80"/>
      <c r="AH167" s="80"/>
    </row>
    <row r="168" spans="1:34" x14ac:dyDescent="0.2">
      <c r="A168" s="80"/>
      <c r="B168" s="80"/>
      <c r="C168" s="80"/>
      <c r="D168" s="80"/>
      <c r="E168" s="80"/>
      <c r="F168" s="80"/>
      <c r="G168" s="80"/>
      <c r="H168" s="80"/>
      <c r="I168" s="80"/>
      <c r="J168" s="80"/>
      <c r="K168" s="80"/>
      <c r="L168" s="80"/>
      <c r="M168" s="80"/>
      <c r="N168" s="80"/>
      <c r="O168" s="80"/>
      <c r="P168" s="80"/>
      <c r="Q168" s="80"/>
      <c r="R168" s="80"/>
      <c r="S168" s="80"/>
      <c r="T168" s="80"/>
      <c r="U168" s="80"/>
      <c r="V168" s="80"/>
      <c r="W168" s="80"/>
      <c r="X168" s="80"/>
      <c r="Y168" s="80"/>
      <c r="Z168" s="80"/>
      <c r="AA168" s="80"/>
      <c r="AB168" s="80"/>
      <c r="AC168" s="80"/>
      <c r="AD168" s="80"/>
      <c r="AE168" s="80"/>
      <c r="AF168" s="80"/>
      <c r="AG168" s="80"/>
      <c r="AH168" s="80"/>
    </row>
    <row r="169" spans="1:34" x14ac:dyDescent="0.2">
      <c r="A169" s="80"/>
      <c r="B169" s="80"/>
      <c r="C169" s="80"/>
      <c r="D169" s="80"/>
      <c r="E169" s="80"/>
      <c r="F169" s="80"/>
      <c r="G169" s="80"/>
      <c r="H169" s="80"/>
      <c r="I169" s="80"/>
      <c r="J169" s="80"/>
      <c r="K169" s="80"/>
      <c r="L169" s="80"/>
      <c r="M169" s="80"/>
      <c r="N169" s="80"/>
      <c r="O169" s="80"/>
      <c r="P169" s="80"/>
      <c r="Q169" s="80"/>
      <c r="R169" s="80"/>
      <c r="S169" s="80"/>
      <c r="T169" s="80"/>
      <c r="U169" s="80"/>
      <c r="V169" s="80"/>
      <c r="W169" s="80"/>
      <c r="X169" s="80"/>
      <c r="Y169" s="80"/>
      <c r="Z169" s="80"/>
      <c r="AA169" s="80"/>
      <c r="AB169" s="80"/>
      <c r="AC169" s="80"/>
      <c r="AD169" s="80"/>
      <c r="AE169" s="80"/>
      <c r="AF169" s="80"/>
      <c r="AG169" s="80"/>
      <c r="AH169" s="80"/>
    </row>
    <row r="170" spans="1:34" x14ac:dyDescent="0.2">
      <c r="A170" s="80"/>
      <c r="B170" s="80"/>
      <c r="C170" s="80"/>
      <c r="D170" s="80"/>
      <c r="E170" s="80"/>
      <c r="F170" s="80"/>
      <c r="G170" s="80"/>
      <c r="H170" s="80"/>
      <c r="I170" s="80"/>
      <c r="J170" s="80"/>
      <c r="K170" s="80"/>
      <c r="L170" s="80"/>
      <c r="M170" s="80"/>
      <c r="N170" s="80"/>
      <c r="O170" s="80"/>
      <c r="P170" s="80"/>
      <c r="Q170" s="80"/>
      <c r="R170" s="80"/>
      <c r="S170" s="80"/>
      <c r="T170" s="80"/>
      <c r="U170" s="80"/>
      <c r="V170" s="80"/>
      <c r="W170" s="80"/>
      <c r="X170" s="80"/>
      <c r="Y170" s="80"/>
      <c r="Z170" s="80"/>
      <c r="AA170" s="80"/>
      <c r="AB170" s="80"/>
      <c r="AC170" s="80"/>
      <c r="AD170" s="80"/>
      <c r="AE170" s="80"/>
      <c r="AF170" s="80"/>
      <c r="AG170" s="80"/>
      <c r="AH170" s="80"/>
    </row>
    <row r="171" spans="1:34" x14ac:dyDescent="0.2">
      <c r="A171" s="80"/>
      <c r="B171" s="80"/>
      <c r="C171" s="80"/>
      <c r="D171" s="80"/>
      <c r="E171" s="80"/>
      <c r="F171" s="80"/>
      <c r="G171" s="80"/>
      <c r="H171" s="80"/>
      <c r="I171" s="80"/>
      <c r="J171" s="80"/>
      <c r="K171" s="80"/>
      <c r="L171" s="80"/>
      <c r="M171" s="80"/>
      <c r="N171" s="80"/>
      <c r="O171" s="80"/>
      <c r="P171" s="80"/>
      <c r="Q171" s="80"/>
      <c r="R171" s="80"/>
      <c r="S171" s="80"/>
      <c r="T171" s="80"/>
      <c r="U171" s="80"/>
      <c r="V171" s="80"/>
      <c r="W171" s="80"/>
      <c r="X171" s="80"/>
      <c r="Y171" s="80"/>
      <c r="Z171" s="80"/>
      <c r="AA171" s="80"/>
      <c r="AB171" s="80"/>
      <c r="AC171" s="80"/>
      <c r="AD171" s="80"/>
      <c r="AE171" s="80"/>
      <c r="AF171" s="80"/>
      <c r="AG171" s="80"/>
      <c r="AH171" s="80"/>
    </row>
    <row r="172" spans="1:34" x14ac:dyDescent="0.2">
      <c r="A172" s="80"/>
      <c r="B172" s="80"/>
      <c r="C172" s="80"/>
      <c r="D172" s="80"/>
      <c r="E172" s="80"/>
      <c r="F172" s="80"/>
      <c r="G172" s="80"/>
      <c r="H172" s="80"/>
      <c r="I172" s="80"/>
      <c r="J172" s="80"/>
      <c r="K172" s="80"/>
      <c r="L172" s="80"/>
      <c r="M172" s="80"/>
      <c r="N172" s="80"/>
      <c r="O172" s="80"/>
      <c r="P172" s="80"/>
      <c r="Q172" s="80"/>
      <c r="R172" s="80"/>
      <c r="S172" s="80"/>
      <c r="T172" s="80"/>
      <c r="U172" s="80"/>
      <c r="V172" s="80"/>
      <c r="W172" s="80"/>
      <c r="X172" s="80"/>
      <c r="Y172" s="80"/>
      <c r="Z172" s="80"/>
      <c r="AA172" s="80"/>
      <c r="AB172" s="80"/>
      <c r="AC172" s="80"/>
      <c r="AD172" s="80"/>
      <c r="AE172" s="80"/>
      <c r="AF172" s="80"/>
      <c r="AG172" s="80"/>
      <c r="AH172" s="80"/>
    </row>
    <row r="173" spans="1:34" x14ac:dyDescent="0.2">
      <c r="A173" s="80"/>
      <c r="B173" s="80"/>
      <c r="C173" s="80"/>
      <c r="D173" s="80"/>
      <c r="E173" s="80"/>
      <c r="F173" s="80"/>
      <c r="G173" s="80"/>
      <c r="H173" s="80"/>
      <c r="I173" s="80"/>
      <c r="J173" s="80"/>
      <c r="K173" s="80"/>
      <c r="L173" s="80"/>
      <c r="M173" s="80"/>
      <c r="N173" s="80"/>
      <c r="O173" s="80"/>
      <c r="P173" s="80"/>
      <c r="Q173" s="80"/>
      <c r="R173" s="80"/>
      <c r="S173" s="80"/>
      <c r="T173" s="80"/>
      <c r="U173" s="80"/>
      <c r="V173" s="80"/>
      <c r="W173" s="80"/>
      <c r="X173" s="80"/>
      <c r="Y173" s="80"/>
      <c r="Z173" s="80"/>
      <c r="AA173" s="80"/>
      <c r="AB173" s="80"/>
      <c r="AC173" s="80"/>
      <c r="AD173" s="80"/>
      <c r="AE173" s="80"/>
      <c r="AF173" s="80"/>
      <c r="AG173" s="80"/>
      <c r="AH173" s="80"/>
    </row>
    <row r="174" spans="1:34" x14ac:dyDescent="0.2">
      <c r="A174" s="80"/>
      <c r="B174" s="80"/>
      <c r="C174" s="80"/>
      <c r="D174" s="80"/>
      <c r="E174" s="80"/>
      <c r="F174" s="80"/>
      <c r="G174" s="80"/>
      <c r="H174" s="80"/>
      <c r="I174" s="80"/>
      <c r="J174" s="80"/>
      <c r="K174" s="80"/>
      <c r="L174" s="80"/>
      <c r="M174" s="80"/>
      <c r="N174" s="80"/>
      <c r="O174" s="80"/>
      <c r="P174" s="80"/>
      <c r="Q174" s="80"/>
      <c r="R174" s="80"/>
      <c r="S174" s="80"/>
      <c r="T174" s="80"/>
      <c r="U174" s="80"/>
      <c r="V174" s="80"/>
      <c r="W174" s="80"/>
      <c r="X174" s="80"/>
      <c r="Y174" s="80"/>
      <c r="Z174" s="80"/>
      <c r="AA174" s="80"/>
      <c r="AB174" s="80"/>
      <c r="AC174" s="80"/>
      <c r="AD174" s="80"/>
      <c r="AE174" s="80"/>
      <c r="AF174" s="80"/>
      <c r="AG174" s="80"/>
      <c r="AH174" s="80"/>
    </row>
    <row r="175" spans="1:34" x14ac:dyDescent="0.2">
      <c r="A175" s="80"/>
      <c r="B175" s="80"/>
      <c r="C175" s="80"/>
      <c r="D175" s="80"/>
      <c r="E175" s="80"/>
      <c r="F175" s="80"/>
      <c r="G175" s="80"/>
      <c r="H175" s="80"/>
      <c r="I175" s="80"/>
      <c r="J175" s="80"/>
      <c r="K175" s="80"/>
      <c r="L175" s="80"/>
      <c r="M175" s="80"/>
      <c r="N175" s="80"/>
      <c r="O175" s="80"/>
      <c r="P175" s="80"/>
      <c r="Q175" s="80"/>
      <c r="R175" s="80"/>
      <c r="S175" s="80"/>
      <c r="T175" s="80"/>
      <c r="U175" s="80"/>
      <c r="V175" s="80"/>
      <c r="W175" s="80"/>
      <c r="X175" s="80"/>
      <c r="Y175" s="80"/>
      <c r="Z175" s="80"/>
      <c r="AA175" s="80"/>
      <c r="AB175" s="80"/>
      <c r="AC175" s="80"/>
      <c r="AD175" s="80"/>
      <c r="AE175" s="80"/>
      <c r="AF175" s="80"/>
      <c r="AG175" s="80"/>
      <c r="AH175" s="80"/>
    </row>
    <row r="176" spans="1:34" x14ac:dyDescent="0.2">
      <c r="A176" s="80"/>
      <c r="B176" s="80"/>
      <c r="C176" s="80"/>
      <c r="D176" s="80"/>
      <c r="E176" s="80"/>
      <c r="F176" s="80"/>
      <c r="G176" s="80"/>
      <c r="H176" s="80"/>
      <c r="I176" s="80"/>
      <c r="J176" s="80"/>
      <c r="K176" s="80"/>
      <c r="L176" s="80"/>
      <c r="M176" s="80"/>
      <c r="N176" s="80"/>
      <c r="O176" s="80"/>
      <c r="P176" s="80"/>
      <c r="Q176" s="80"/>
      <c r="R176" s="80"/>
      <c r="S176" s="80"/>
      <c r="T176" s="80"/>
      <c r="U176" s="80"/>
      <c r="V176" s="80"/>
      <c r="W176" s="80"/>
      <c r="X176" s="80"/>
      <c r="Y176" s="80"/>
      <c r="Z176" s="80"/>
      <c r="AA176" s="80"/>
      <c r="AB176" s="80"/>
      <c r="AC176" s="80"/>
      <c r="AD176" s="80"/>
      <c r="AE176" s="80"/>
      <c r="AF176" s="80"/>
      <c r="AG176" s="80"/>
      <c r="AH176" s="80"/>
    </row>
    <row r="177" spans="1:34" x14ac:dyDescent="0.2">
      <c r="A177" s="80"/>
      <c r="B177" s="80"/>
      <c r="C177" s="80"/>
      <c r="D177" s="80"/>
      <c r="E177" s="80"/>
      <c r="F177" s="80"/>
      <c r="G177" s="80"/>
      <c r="H177" s="80"/>
      <c r="I177" s="80"/>
      <c r="J177" s="80"/>
      <c r="K177" s="80"/>
      <c r="L177" s="80"/>
      <c r="M177" s="80"/>
      <c r="N177" s="80"/>
      <c r="O177" s="80"/>
      <c r="P177" s="80"/>
      <c r="Q177" s="80"/>
      <c r="R177" s="80"/>
      <c r="S177" s="80"/>
      <c r="T177" s="80"/>
      <c r="U177" s="80"/>
      <c r="V177" s="80"/>
      <c r="W177" s="80"/>
      <c r="X177" s="80"/>
      <c r="Y177" s="80"/>
      <c r="Z177" s="80"/>
      <c r="AA177" s="80"/>
      <c r="AB177" s="80"/>
      <c r="AC177" s="80"/>
      <c r="AD177" s="80"/>
      <c r="AE177" s="80"/>
      <c r="AF177" s="80"/>
      <c r="AG177" s="80"/>
      <c r="AH177" s="80"/>
    </row>
    <row r="178" spans="1:34" x14ac:dyDescent="0.2">
      <c r="A178" s="80"/>
      <c r="B178" s="80"/>
      <c r="C178" s="80"/>
      <c r="D178" s="80"/>
      <c r="E178" s="80"/>
      <c r="F178" s="80"/>
      <c r="G178" s="80"/>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c r="AE178" s="80"/>
      <c r="AF178" s="80"/>
      <c r="AG178" s="80"/>
      <c r="AH178" s="80"/>
    </row>
    <row r="179" spans="1:34" x14ac:dyDescent="0.2">
      <c r="A179" s="80"/>
      <c r="B179" s="80"/>
      <c r="C179" s="80"/>
      <c r="D179" s="80"/>
      <c r="E179" s="80"/>
      <c r="F179" s="80"/>
      <c r="G179" s="80"/>
      <c r="H179" s="80"/>
      <c r="I179" s="80"/>
      <c r="J179" s="80"/>
      <c r="K179" s="80"/>
      <c r="L179" s="80"/>
      <c r="M179" s="80"/>
      <c r="N179" s="80"/>
      <c r="O179" s="80"/>
      <c r="P179" s="80"/>
      <c r="Q179" s="80"/>
      <c r="R179" s="80"/>
      <c r="S179" s="80"/>
      <c r="T179" s="80"/>
      <c r="U179" s="80"/>
      <c r="V179" s="80"/>
      <c r="W179" s="80"/>
      <c r="X179" s="80"/>
      <c r="Y179" s="80"/>
      <c r="Z179" s="80"/>
      <c r="AA179" s="80"/>
      <c r="AB179" s="80"/>
      <c r="AC179" s="80"/>
      <c r="AD179" s="80"/>
      <c r="AE179" s="80"/>
      <c r="AF179" s="80"/>
      <c r="AG179" s="80"/>
      <c r="AH179" s="80"/>
    </row>
    <row r="180" spans="1:34" x14ac:dyDescent="0.2">
      <c r="A180" s="80"/>
      <c r="B180" s="80"/>
      <c r="C180" s="80"/>
      <c r="D180" s="80"/>
      <c r="E180" s="80"/>
      <c r="F180" s="80"/>
      <c r="G180" s="80"/>
      <c r="H180" s="80"/>
      <c r="I180" s="80"/>
      <c r="J180" s="80"/>
      <c r="K180" s="80"/>
      <c r="L180" s="80"/>
      <c r="M180" s="80"/>
      <c r="N180" s="80"/>
      <c r="O180" s="80"/>
      <c r="P180" s="80"/>
      <c r="Q180" s="80"/>
      <c r="R180" s="80"/>
      <c r="S180" s="80"/>
      <c r="T180" s="80"/>
      <c r="U180" s="80"/>
      <c r="V180" s="80"/>
      <c r="W180" s="80"/>
      <c r="X180" s="80"/>
      <c r="Y180" s="80"/>
      <c r="Z180" s="80"/>
      <c r="AA180" s="80"/>
      <c r="AB180" s="80"/>
      <c r="AC180" s="80"/>
      <c r="AD180" s="80"/>
      <c r="AE180" s="80"/>
      <c r="AF180" s="80"/>
      <c r="AG180" s="80"/>
      <c r="AH180" s="80"/>
    </row>
    <row r="181" spans="1:34" x14ac:dyDescent="0.2">
      <c r="A181" s="80"/>
      <c r="B181" s="80"/>
      <c r="C181" s="80"/>
      <c r="D181" s="80"/>
      <c r="E181" s="80"/>
      <c r="F181" s="80"/>
      <c r="G181" s="80"/>
      <c r="H181" s="80"/>
      <c r="I181" s="80"/>
      <c r="J181" s="80"/>
      <c r="K181" s="80"/>
      <c r="L181" s="80"/>
      <c r="M181" s="80"/>
      <c r="N181" s="80"/>
      <c r="O181" s="80"/>
      <c r="P181" s="80"/>
      <c r="Q181" s="80"/>
      <c r="R181" s="80"/>
      <c r="S181" s="80"/>
      <c r="T181" s="80"/>
      <c r="U181" s="80"/>
      <c r="V181" s="80"/>
      <c r="W181" s="80"/>
      <c r="X181" s="80"/>
      <c r="Y181" s="80"/>
      <c r="Z181" s="80"/>
      <c r="AA181" s="80"/>
      <c r="AB181" s="80"/>
      <c r="AC181" s="80"/>
      <c r="AD181" s="80"/>
      <c r="AE181" s="80"/>
      <c r="AF181" s="80"/>
      <c r="AG181" s="80"/>
      <c r="AH181" s="80"/>
    </row>
    <row r="182" spans="1:34" x14ac:dyDescent="0.2">
      <c r="A182" s="80"/>
      <c r="B182" s="80"/>
      <c r="C182" s="80"/>
      <c r="D182" s="80"/>
      <c r="E182" s="80"/>
      <c r="F182" s="80"/>
      <c r="G182" s="80"/>
      <c r="H182" s="80"/>
      <c r="I182" s="80"/>
      <c r="J182" s="80"/>
      <c r="K182" s="80"/>
      <c r="L182" s="80"/>
      <c r="M182" s="80"/>
      <c r="N182" s="80"/>
      <c r="O182" s="80"/>
      <c r="P182" s="80"/>
      <c r="Q182" s="80"/>
      <c r="R182" s="80"/>
      <c r="S182" s="80"/>
      <c r="T182" s="80"/>
      <c r="U182" s="80"/>
      <c r="V182" s="80"/>
      <c r="W182" s="80"/>
      <c r="X182" s="80"/>
      <c r="Y182" s="80"/>
      <c r="Z182" s="80"/>
      <c r="AA182" s="80"/>
      <c r="AB182" s="80"/>
      <c r="AC182" s="80"/>
      <c r="AD182" s="80"/>
      <c r="AE182" s="80"/>
      <c r="AF182" s="80"/>
      <c r="AG182" s="80"/>
      <c r="AH182" s="80"/>
    </row>
    <row r="183" spans="1:34" x14ac:dyDescent="0.2">
      <c r="A183" s="80"/>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row>
    <row r="184" spans="1:34" x14ac:dyDescent="0.2">
      <c r="A184" s="80"/>
      <c r="B184" s="80"/>
      <c r="C184" s="80"/>
      <c r="D184" s="80"/>
      <c r="E184" s="80"/>
      <c r="F184" s="80"/>
      <c r="G184" s="80"/>
      <c r="H184" s="80"/>
      <c r="I184" s="80"/>
      <c r="J184" s="80"/>
      <c r="K184" s="80"/>
      <c r="L184" s="80"/>
      <c r="M184" s="80"/>
      <c r="N184" s="80"/>
      <c r="O184" s="80"/>
      <c r="P184" s="80"/>
      <c r="Q184" s="80"/>
      <c r="R184" s="80"/>
      <c r="S184" s="80"/>
      <c r="T184" s="80"/>
      <c r="U184" s="80"/>
      <c r="V184" s="80"/>
      <c r="W184" s="80"/>
      <c r="X184" s="80"/>
      <c r="Y184" s="80"/>
      <c r="Z184" s="80"/>
      <c r="AA184" s="80"/>
      <c r="AB184" s="80"/>
      <c r="AC184" s="80"/>
      <c r="AD184" s="80"/>
      <c r="AE184" s="80"/>
      <c r="AF184" s="80"/>
      <c r="AG184" s="80"/>
      <c r="AH184" s="80"/>
    </row>
    <row r="185" spans="1:34" x14ac:dyDescent="0.2">
      <c r="A185" s="80"/>
      <c r="B185" s="80"/>
      <c r="C185" s="80"/>
      <c r="D185" s="80"/>
      <c r="E185" s="80"/>
      <c r="F185" s="80"/>
      <c r="G185" s="80"/>
      <c r="H185" s="80"/>
      <c r="I185" s="80"/>
      <c r="J185" s="80"/>
      <c r="K185" s="80"/>
      <c r="L185" s="80"/>
      <c r="M185" s="80"/>
      <c r="N185" s="80"/>
      <c r="O185" s="80"/>
      <c r="P185" s="80"/>
      <c r="Q185" s="80"/>
      <c r="R185" s="80"/>
      <c r="S185" s="80"/>
      <c r="T185" s="80"/>
      <c r="U185" s="80"/>
      <c r="V185" s="80"/>
      <c r="W185" s="80"/>
      <c r="X185" s="80"/>
      <c r="Y185" s="80"/>
      <c r="Z185" s="80"/>
      <c r="AA185" s="80"/>
      <c r="AB185" s="80"/>
      <c r="AC185" s="80"/>
      <c r="AD185" s="80"/>
      <c r="AE185" s="80"/>
      <c r="AF185" s="80"/>
      <c r="AG185" s="80"/>
      <c r="AH185" s="80"/>
    </row>
    <row r="186" spans="1:34" x14ac:dyDescent="0.2">
      <c r="A186" s="80"/>
      <c r="B186" s="80"/>
      <c r="C186" s="80"/>
      <c r="D186" s="80"/>
      <c r="E186" s="80"/>
      <c r="F186" s="80"/>
      <c r="G186" s="80"/>
      <c r="H186" s="80"/>
      <c r="I186" s="80"/>
      <c r="J186" s="80"/>
      <c r="K186" s="80"/>
      <c r="L186" s="80"/>
      <c r="M186" s="80"/>
      <c r="N186" s="80"/>
      <c r="O186" s="80"/>
      <c r="P186" s="80"/>
      <c r="Q186" s="80"/>
      <c r="R186" s="80"/>
      <c r="S186" s="80"/>
      <c r="T186" s="80"/>
      <c r="U186" s="80"/>
      <c r="V186" s="80"/>
      <c r="W186" s="80"/>
      <c r="X186" s="80"/>
      <c r="Y186" s="80"/>
      <c r="Z186" s="80"/>
      <c r="AA186" s="80"/>
      <c r="AB186" s="80"/>
      <c r="AC186" s="80"/>
      <c r="AD186" s="80"/>
      <c r="AE186" s="80"/>
      <c r="AF186" s="80"/>
      <c r="AG186" s="80"/>
      <c r="AH186" s="80"/>
    </row>
    <row r="187" spans="1:34" x14ac:dyDescent="0.2">
      <c r="A187" s="80"/>
      <c r="B187" s="80"/>
      <c r="C187" s="80"/>
      <c r="D187" s="80"/>
      <c r="E187" s="80"/>
      <c r="F187" s="80"/>
      <c r="G187" s="80"/>
      <c r="H187" s="80"/>
      <c r="I187" s="80"/>
      <c r="J187" s="80"/>
      <c r="K187" s="80"/>
      <c r="L187" s="80"/>
      <c r="M187" s="80"/>
      <c r="N187" s="80"/>
      <c r="O187" s="80"/>
      <c r="P187" s="80"/>
      <c r="Q187" s="80"/>
      <c r="R187" s="80"/>
      <c r="S187" s="80"/>
      <c r="T187" s="80"/>
      <c r="U187" s="80"/>
      <c r="V187" s="80"/>
      <c r="W187" s="80"/>
      <c r="X187" s="80"/>
      <c r="Y187" s="80"/>
      <c r="Z187" s="80"/>
      <c r="AA187" s="80"/>
      <c r="AB187" s="80"/>
      <c r="AC187" s="80"/>
      <c r="AD187" s="80"/>
      <c r="AE187" s="80"/>
      <c r="AF187" s="80"/>
      <c r="AG187" s="80"/>
      <c r="AH187" s="80"/>
    </row>
    <row r="188" spans="1:34" x14ac:dyDescent="0.2">
      <c r="A188" s="80"/>
      <c r="B188" s="80"/>
      <c r="C188" s="80"/>
      <c r="D188" s="80"/>
      <c r="E188" s="80"/>
      <c r="F188" s="80"/>
      <c r="G188" s="80"/>
      <c r="H188" s="80"/>
      <c r="I188" s="80"/>
      <c r="J188" s="80"/>
      <c r="K188" s="80"/>
      <c r="L188" s="80"/>
      <c r="M188" s="80"/>
      <c r="N188" s="80"/>
      <c r="O188" s="80"/>
      <c r="P188" s="80"/>
      <c r="Q188" s="80"/>
      <c r="R188" s="80"/>
      <c r="S188" s="80"/>
      <c r="T188" s="80"/>
      <c r="U188" s="80"/>
      <c r="V188" s="80"/>
      <c r="W188" s="80"/>
      <c r="X188" s="80"/>
      <c r="Y188" s="80"/>
      <c r="Z188" s="80"/>
      <c r="AA188" s="80"/>
      <c r="AB188" s="80"/>
      <c r="AC188" s="80"/>
      <c r="AD188" s="80"/>
      <c r="AE188" s="80"/>
      <c r="AF188" s="80"/>
      <c r="AG188" s="80"/>
      <c r="AH188" s="80"/>
    </row>
    <row r="189" spans="1:34" x14ac:dyDescent="0.2">
      <c r="A189" s="80"/>
      <c r="B189" s="80"/>
      <c r="C189" s="80"/>
      <c r="D189" s="80"/>
      <c r="E189" s="80"/>
      <c r="F189" s="80"/>
      <c r="G189" s="80"/>
      <c r="H189" s="80"/>
      <c r="I189" s="80"/>
      <c r="J189" s="80"/>
      <c r="K189" s="80"/>
      <c r="L189" s="80"/>
      <c r="M189" s="80"/>
      <c r="N189" s="80"/>
      <c r="O189" s="80"/>
      <c r="P189" s="80"/>
      <c r="Q189" s="80"/>
      <c r="R189" s="80"/>
      <c r="S189" s="80"/>
      <c r="T189" s="80"/>
      <c r="U189" s="80"/>
      <c r="V189" s="80"/>
      <c r="W189" s="80"/>
      <c r="X189" s="80"/>
      <c r="Y189" s="80"/>
      <c r="Z189" s="80"/>
      <c r="AA189" s="80"/>
      <c r="AB189" s="80"/>
      <c r="AC189" s="80"/>
      <c r="AD189" s="80"/>
      <c r="AE189" s="80"/>
      <c r="AF189" s="80"/>
      <c r="AG189" s="80"/>
      <c r="AH189" s="80"/>
    </row>
    <row r="190" spans="1:34" x14ac:dyDescent="0.2">
      <c r="A190" s="80"/>
      <c r="B190" s="80"/>
      <c r="C190" s="80"/>
      <c r="D190" s="80"/>
      <c r="E190" s="80"/>
      <c r="F190" s="80"/>
      <c r="G190" s="80"/>
      <c r="H190" s="80"/>
      <c r="I190" s="80"/>
      <c r="J190" s="80"/>
      <c r="K190" s="80"/>
      <c r="L190" s="80"/>
      <c r="M190" s="80"/>
      <c r="N190" s="80"/>
      <c r="O190" s="80"/>
      <c r="P190" s="80"/>
      <c r="Q190" s="80"/>
      <c r="R190" s="80"/>
      <c r="S190" s="80"/>
      <c r="T190" s="80"/>
      <c r="U190" s="80"/>
      <c r="V190" s="80"/>
      <c r="W190" s="80"/>
      <c r="X190" s="80"/>
      <c r="Y190" s="80"/>
      <c r="Z190" s="80"/>
      <c r="AA190" s="80"/>
      <c r="AB190" s="80"/>
      <c r="AC190" s="80"/>
      <c r="AD190" s="80"/>
      <c r="AE190" s="80"/>
      <c r="AF190" s="80"/>
      <c r="AG190" s="80"/>
      <c r="AH190" s="80"/>
    </row>
    <row r="191" spans="1:34" x14ac:dyDescent="0.2">
      <c r="A191" s="80"/>
      <c r="B191" s="80"/>
      <c r="C191" s="80"/>
      <c r="D191" s="80"/>
      <c r="E191" s="80"/>
      <c r="F191" s="80"/>
      <c r="G191" s="80"/>
      <c r="H191" s="80"/>
      <c r="I191" s="80"/>
      <c r="J191" s="80"/>
      <c r="K191" s="80"/>
      <c r="L191" s="80"/>
      <c r="M191" s="80"/>
      <c r="N191" s="80"/>
      <c r="O191" s="80"/>
      <c r="P191" s="80"/>
      <c r="Q191" s="80"/>
      <c r="R191" s="80"/>
      <c r="S191" s="80"/>
      <c r="T191" s="80"/>
      <c r="U191" s="80"/>
      <c r="V191" s="80"/>
      <c r="W191" s="80"/>
      <c r="X191" s="80"/>
      <c r="Y191" s="80"/>
      <c r="Z191" s="80"/>
      <c r="AA191" s="80"/>
      <c r="AB191" s="80"/>
      <c r="AC191" s="80"/>
      <c r="AD191" s="80"/>
      <c r="AE191" s="80"/>
      <c r="AF191" s="80"/>
      <c r="AG191" s="80"/>
      <c r="AH191" s="80"/>
    </row>
    <row r="192" spans="1:34" x14ac:dyDescent="0.2">
      <c r="A192" s="80"/>
      <c r="B192" s="80"/>
      <c r="C192" s="80"/>
      <c r="D192" s="80"/>
      <c r="E192" s="80"/>
      <c r="F192" s="80"/>
      <c r="G192" s="80"/>
      <c r="H192" s="80"/>
      <c r="I192" s="80"/>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row>
    <row r="193" spans="1:34" x14ac:dyDescent="0.2">
      <c r="A193" s="80"/>
      <c r="B193" s="80"/>
      <c r="C193" s="80"/>
      <c r="D193" s="80"/>
      <c r="E193" s="80"/>
      <c r="F193" s="80"/>
      <c r="G193" s="80"/>
      <c r="H193" s="80"/>
      <c r="I193" s="80"/>
      <c r="J193" s="80"/>
      <c r="K193" s="80"/>
      <c r="L193" s="80"/>
      <c r="M193" s="80"/>
      <c r="N193" s="80"/>
      <c r="O193" s="80"/>
      <c r="P193" s="80"/>
      <c r="Q193" s="80"/>
      <c r="R193" s="80"/>
      <c r="S193" s="80"/>
      <c r="T193" s="80"/>
      <c r="U193" s="80"/>
      <c r="V193" s="80"/>
      <c r="W193" s="80"/>
      <c r="X193" s="80"/>
      <c r="Y193" s="80"/>
      <c r="Z193" s="80"/>
      <c r="AA193" s="80"/>
      <c r="AB193" s="80"/>
      <c r="AC193" s="80"/>
      <c r="AD193" s="80"/>
      <c r="AE193" s="80"/>
      <c r="AF193" s="80"/>
      <c r="AG193" s="80"/>
      <c r="AH193" s="80"/>
    </row>
    <row r="194" spans="1:34" x14ac:dyDescent="0.2">
      <c r="A194" s="80"/>
      <c r="B194" s="80"/>
      <c r="C194" s="80"/>
      <c r="D194" s="80"/>
      <c r="E194" s="80"/>
      <c r="F194" s="80"/>
      <c r="G194" s="80"/>
      <c r="H194" s="80"/>
      <c r="I194" s="80"/>
      <c r="J194" s="80"/>
      <c r="K194" s="80"/>
      <c r="L194" s="80"/>
      <c r="M194" s="80"/>
      <c r="N194" s="80"/>
      <c r="O194" s="80"/>
      <c r="P194" s="80"/>
      <c r="Q194" s="80"/>
      <c r="R194" s="80"/>
      <c r="S194" s="80"/>
      <c r="T194" s="80"/>
      <c r="U194" s="80"/>
      <c r="V194" s="80"/>
      <c r="W194" s="80"/>
      <c r="X194" s="80"/>
      <c r="Y194" s="80"/>
      <c r="Z194" s="80"/>
      <c r="AA194" s="80"/>
      <c r="AB194" s="80"/>
      <c r="AC194" s="80"/>
      <c r="AD194" s="80"/>
      <c r="AE194" s="80"/>
      <c r="AF194" s="80"/>
      <c r="AG194" s="80"/>
      <c r="AH194" s="80"/>
    </row>
    <row r="195" spans="1:34" x14ac:dyDescent="0.2">
      <c r="A195" s="80"/>
      <c r="B195" s="80"/>
      <c r="C195" s="80"/>
      <c r="D195" s="80"/>
      <c r="E195" s="80"/>
      <c r="F195" s="80"/>
      <c r="G195" s="80"/>
      <c r="H195" s="80"/>
      <c r="I195" s="80"/>
      <c r="J195" s="80"/>
      <c r="K195" s="80"/>
      <c r="L195" s="80"/>
      <c r="M195" s="80"/>
      <c r="N195" s="80"/>
      <c r="O195" s="80"/>
      <c r="P195" s="80"/>
      <c r="Q195" s="80"/>
      <c r="R195" s="80"/>
      <c r="S195" s="80"/>
      <c r="T195" s="80"/>
      <c r="U195" s="80"/>
      <c r="V195" s="80"/>
      <c r="W195" s="80"/>
      <c r="X195" s="80"/>
      <c r="Y195" s="80"/>
      <c r="Z195" s="80"/>
      <c r="AA195" s="80"/>
      <c r="AB195" s="80"/>
      <c r="AC195" s="80"/>
      <c r="AD195" s="80"/>
      <c r="AE195" s="80"/>
      <c r="AF195" s="80"/>
      <c r="AG195" s="80"/>
      <c r="AH195" s="80"/>
    </row>
    <row r="196" spans="1:34" x14ac:dyDescent="0.2">
      <c r="A196" s="80"/>
      <c r="B196" s="80"/>
      <c r="C196" s="80"/>
      <c r="D196" s="80"/>
      <c r="E196" s="80"/>
      <c r="F196" s="80"/>
      <c r="G196" s="80"/>
      <c r="H196" s="80"/>
      <c r="I196" s="80"/>
      <c r="J196" s="80"/>
      <c r="K196" s="80"/>
      <c r="L196" s="80"/>
      <c r="M196" s="80"/>
      <c r="N196" s="80"/>
      <c r="O196" s="80"/>
      <c r="P196" s="80"/>
      <c r="Q196" s="80"/>
      <c r="R196" s="80"/>
      <c r="S196" s="80"/>
      <c r="T196" s="80"/>
      <c r="U196" s="80"/>
      <c r="V196" s="80"/>
      <c r="W196" s="80"/>
      <c r="X196" s="80"/>
      <c r="Y196" s="80"/>
      <c r="Z196" s="80"/>
      <c r="AA196" s="80"/>
      <c r="AB196" s="80"/>
      <c r="AC196" s="80"/>
      <c r="AD196" s="80"/>
      <c r="AE196" s="80"/>
      <c r="AF196" s="80"/>
      <c r="AG196" s="80"/>
      <c r="AH196" s="80"/>
    </row>
    <row r="197" spans="1:34" x14ac:dyDescent="0.2">
      <c r="A197" s="80"/>
      <c r="B197" s="80"/>
      <c r="C197" s="80"/>
      <c r="D197" s="80"/>
      <c r="E197" s="80"/>
      <c r="F197" s="80"/>
      <c r="G197" s="80"/>
      <c r="H197" s="80"/>
      <c r="I197" s="80"/>
      <c r="J197" s="80"/>
      <c r="K197" s="80"/>
      <c r="L197" s="80"/>
      <c r="M197" s="80"/>
      <c r="N197" s="80"/>
      <c r="O197" s="80"/>
      <c r="P197" s="80"/>
      <c r="Q197" s="80"/>
      <c r="R197" s="80"/>
      <c r="S197" s="80"/>
      <c r="T197" s="80"/>
      <c r="U197" s="80"/>
      <c r="V197" s="80"/>
      <c r="W197" s="80"/>
      <c r="X197" s="80"/>
      <c r="Y197" s="80"/>
      <c r="Z197" s="80"/>
      <c r="AA197" s="80"/>
      <c r="AB197" s="80"/>
      <c r="AC197" s="80"/>
      <c r="AD197" s="80"/>
      <c r="AE197" s="80"/>
      <c r="AF197" s="80"/>
      <c r="AG197" s="80"/>
      <c r="AH197" s="80"/>
    </row>
    <row r="198" spans="1:34" x14ac:dyDescent="0.2">
      <c r="A198" s="80"/>
      <c r="B198" s="80"/>
      <c r="C198" s="80"/>
      <c r="D198" s="80"/>
      <c r="E198" s="80"/>
      <c r="F198" s="80"/>
      <c r="G198" s="80"/>
      <c r="H198" s="80"/>
      <c r="I198" s="80"/>
      <c r="J198" s="80"/>
      <c r="K198" s="80"/>
      <c r="L198" s="80"/>
      <c r="M198" s="80"/>
      <c r="N198" s="80"/>
      <c r="O198" s="80"/>
      <c r="P198" s="80"/>
      <c r="Q198" s="80"/>
      <c r="R198" s="80"/>
      <c r="S198" s="80"/>
      <c r="T198" s="80"/>
      <c r="U198" s="80"/>
      <c r="V198" s="80"/>
      <c r="W198" s="80"/>
      <c r="X198" s="80"/>
      <c r="Y198" s="80"/>
      <c r="Z198" s="80"/>
      <c r="AA198" s="80"/>
      <c r="AB198" s="80"/>
      <c r="AC198" s="80"/>
      <c r="AD198" s="80"/>
      <c r="AE198" s="80"/>
      <c r="AF198" s="80"/>
      <c r="AG198" s="80"/>
      <c r="AH198" s="80"/>
    </row>
    <row r="199" spans="1:34" x14ac:dyDescent="0.2">
      <c r="A199" s="80"/>
      <c r="B199" s="80"/>
      <c r="C199" s="80"/>
      <c r="D199" s="80"/>
      <c r="E199" s="80"/>
      <c r="F199" s="80"/>
      <c r="G199" s="80"/>
      <c r="H199" s="80"/>
      <c r="I199" s="80"/>
      <c r="J199" s="80"/>
      <c r="K199" s="80"/>
      <c r="L199" s="80"/>
      <c r="M199" s="80"/>
      <c r="N199" s="80"/>
      <c r="O199" s="80"/>
      <c r="P199" s="80"/>
      <c r="Q199" s="80"/>
      <c r="R199" s="80"/>
      <c r="S199" s="80"/>
      <c r="T199" s="80"/>
      <c r="U199" s="80"/>
      <c r="V199" s="80"/>
      <c r="W199" s="80"/>
      <c r="X199" s="80"/>
      <c r="Y199" s="80"/>
      <c r="Z199" s="80"/>
      <c r="AA199" s="80"/>
      <c r="AB199" s="80"/>
      <c r="AC199" s="80"/>
      <c r="AD199" s="80"/>
      <c r="AE199" s="80"/>
      <c r="AF199" s="80"/>
      <c r="AG199" s="80"/>
      <c r="AH199" s="80"/>
    </row>
    <row r="200" spans="1:34" x14ac:dyDescent="0.2">
      <c r="A200" s="80"/>
      <c r="B200" s="80"/>
      <c r="C200" s="80"/>
      <c r="D200" s="80"/>
      <c r="E200" s="80"/>
      <c r="F200" s="80"/>
      <c r="G200" s="80"/>
      <c r="H200" s="80"/>
      <c r="I200" s="80"/>
      <c r="J200" s="80"/>
      <c r="K200" s="80"/>
      <c r="L200" s="80"/>
      <c r="M200" s="80"/>
      <c r="N200" s="80"/>
      <c r="O200" s="80"/>
      <c r="P200" s="80"/>
      <c r="Q200" s="80"/>
      <c r="R200" s="80"/>
      <c r="S200" s="80"/>
      <c r="T200" s="80"/>
      <c r="U200" s="80"/>
      <c r="V200" s="80"/>
      <c r="W200" s="80"/>
      <c r="X200" s="80"/>
      <c r="Y200" s="80"/>
      <c r="Z200" s="80"/>
      <c r="AA200" s="80"/>
      <c r="AB200" s="80"/>
      <c r="AC200" s="80"/>
      <c r="AD200" s="80"/>
      <c r="AE200" s="80"/>
      <c r="AF200" s="80"/>
      <c r="AG200" s="80"/>
      <c r="AH200" s="80"/>
    </row>
    <row r="201" spans="1:34" x14ac:dyDescent="0.2">
      <c r="A201" s="80"/>
      <c r="B201" s="80"/>
      <c r="C201" s="80"/>
      <c r="D201" s="80"/>
      <c r="E201" s="80"/>
      <c r="F201" s="80"/>
      <c r="G201" s="80"/>
      <c r="H201" s="80"/>
      <c r="I201" s="80"/>
      <c r="J201" s="80"/>
      <c r="K201" s="80"/>
      <c r="L201" s="80"/>
      <c r="M201" s="80"/>
      <c r="N201" s="80"/>
      <c r="O201" s="80"/>
      <c r="P201" s="80"/>
      <c r="Q201" s="80"/>
      <c r="R201" s="80"/>
      <c r="S201" s="80"/>
      <c r="T201" s="80"/>
      <c r="U201" s="80"/>
      <c r="V201" s="80"/>
      <c r="W201" s="80"/>
      <c r="X201" s="80"/>
      <c r="Y201" s="80"/>
      <c r="Z201" s="80"/>
      <c r="AA201" s="80"/>
      <c r="AB201" s="80"/>
      <c r="AC201" s="80"/>
      <c r="AD201" s="80"/>
      <c r="AE201" s="80"/>
      <c r="AF201" s="80"/>
      <c r="AG201" s="80"/>
      <c r="AH201" s="80"/>
    </row>
    <row r="202" spans="1:34" x14ac:dyDescent="0.2">
      <c r="A202" s="80"/>
      <c r="B202" s="80"/>
      <c r="C202" s="80"/>
      <c r="D202" s="80"/>
      <c r="E202" s="80"/>
      <c r="F202" s="80"/>
      <c r="G202" s="80"/>
      <c r="H202" s="80"/>
      <c r="I202" s="80"/>
      <c r="J202" s="80"/>
      <c r="K202" s="80"/>
      <c r="L202" s="80"/>
      <c r="M202" s="80"/>
      <c r="N202" s="80"/>
      <c r="O202" s="80"/>
      <c r="P202" s="80"/>
      <c r="Q202" s="80"/>
      <c r="R202" s="80"/>
      <c r="S202" s="80"/>
      <c r="T202" s="80"/>
      <c r="U202" s="80"/>
      <c r="V202" s="80"/>
      <c r="W202" s="80"/>
      <c r="X202" s="80"/>
      <c r="Y202" s="80"/>
      <c r="Z202" s="80"/>
      <c r="AA202" s="80"/>
      <c r="AB202" s="80"/>
      <c r="AC202" s="80"/>
      <c r="AD202" s="80"/>
      <c r="AE202" s="80"/>
      <c r="AF202" s="80"/>
      <c r="AG202" s="80"/>
      <c r="AH202" s="80"/>
    </row>
    <row r="203" spans="1:34" x14ac:dyDescent="0.2">
      <c r="A203" s="80"/>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G203" s="80"/>
      <c r="AH203" s="80"/>
    </row>
    <row r="204" spans="1:34" x14ac:dyDescent="0.2">
      <c r="A204" s="80"/>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c r="AA204" s="80"/>
      <c r="AB204" s="80"/>
      <c r="AC204" s="80"/>
      <c r="AD204" s="80"/>
      <c r="AE204" s="80"/>
      <c r="AF204" s="80"/>
      <c r="AG204" s="80"/>
      <c r="AH204" s="80"/>
    </row>
    <row r="205" spans="1:34" x14ac:dyDescent="0.2">
      <c r="A205" s="80"/>
      <c r="B205" s="80"/>
      <c r="C205" s="80"/>
      <c r="D205" s="80"/>
      <c r="E205" s="80"/>
      <c r="F205" s="80"/>
      <c r="G205" s="80"/>
      <c r="H205" s="80"/>
      <c r="I205" s="80"/>
      <c r="J205" s="80"/>
      <c r="K205" s="80"/>
      <c r="L205" s="80"/>
      <c r="M205" s="80"/>
      <c r="N205" s="80"/>
      <c r="O205" s="80"/>
      <c r="P205" s="80"/>
      <c r="Q205" s="80"/>
      <c r="R205" s="80"/>
      <c r="S205" s="80"/>
      <c r="T205" s="80"/>
      <c r="U205" s="80"/>
      <c r="V205" s="80"/>
      <c r="W205" s="80"/>
      <c r="X205" s="80"/>
      <c r="Y205" s="80"/>
      <c r="Z205" s="80"/>
      <c r="AA205" s="80"/>
      <c r="AB205" s="80"/>
      <c r="AC205" s="80"/>
      <c r="AD205" s="80"/>
      <c r="AE205" s="80"/>
      <c r="AF205" s="80"/>
      <c r="AG205" s="80"/>
      <c r="AH205" s="80"/>
    </row>
    <row r="206" spans="1:34" x14ac:dyDescent="0.2">
      <c r="A206" s="80"/>
      <c r="B206" s="80"/>
      <c r="C206" s="80"/>
      <c r="D206" s="80"/>
      <c r="E206" s="80"/>
      <c r="F206" s="80"/>
      <c r="G206" s="80"/>
      <c r="H206" s="80"/>
      <c r="I206" s="80"/>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row>
    <row r="207" spans="1:34" x14ac:dyDescent="0.2">
      <c r="A207" s="80"/>
      <c r="B207" s="80"/>
      <c r="C207" s="80"/>
      <c r="D207" s="80"/>
      <c r="E207" s="80"/>
      <c r="F207" s="80"/>
      <c r="G207" s="80"/>
      <c r="H207" s="80"/>
      <c r="I207" s="80"/>
      <c r="J207" s="80"/>
      <c r="K207" s="80"/>
      <c r="L207" s="80"/>
      <c r="M207" s="80"/>
      <c r="N207" s="80"/>
      <c r="O207" s="80"/>
      <c r="P207" s="80"/>
      <c r="Q207" s="80"/>
      <c r="R207" s="80"/>
      <c r="S207" s="80"/>
      <c r="T207" s="80"/>
      <c r="U207" s="80"/>
      <c r="V207" s="80"/>
      <c r="W207" s="80"/>
      <c r="X207" s="80"/>
      <c r="Y207" s="80"/>
      <c r="Z207" s="80"/>
      <c r="AA207" s="80"/>
      <c r="AB207" s="80"/>
      <c r="AC207" s="80"/>
      <c r="AD207" s="80"/>
      <c r="AE207" s="80"/>
      <c r="AF207" s="80"/>
      <c r="AG207" s="80"/>
      <c r="AH207" s="80"/>
    </row>
    <row r="208" spans="1:34" x14ac:dyDescent="0.2">
      <c r="A208" s="80"/>
      <c r="B208" s="80"/>
      <c r="C208" s="80"/>
      <c r="D208" s="80"/>
      <c r="E208" s="80"/>
      <c r="F208" s="80"/>
      <c r="G208" s="80"/>
      <c r="H208" s="80"/>
      <c r="I208" s="80"/>
      <c r="J208" s="80"/>
      <c r="K208" s="80"/>
      <c r="L208" s="80"/>
      <c r="M208" s="80"/>
      <c r="N208" s="80"/>
      <c r="O208" s="80"/>
      <c r="P208" s="80"/>
      <c r="Q208" s="80"/>
      <c r="R208" s="80"/>
      <c r="S208" s="80"/>
      <c r="T208" s="80"/>
      <c r="U208" s="80"/>
      <c r="V208" s="80"/>
      <c r="W208" s="80"/>
      <c r="X208" s="80"/>
      <c r="Y208" s="80"/>
      <c r="Z208" s="80"/>
      <c r="AA208" s="80"/>
      <c r="AB208" s="80"/>
      <c r="AC208" s="80"/>
      <c r="AD208" s="80"/>
      <c r="AE208" s="80"/>
      <c r="AF208" s="80"/>
      <c r="AG208" s="80"/>
      <c r="AH208" s="80"/>
    </row>
    <row r="209" spans="1:34" x14ac:dyDescent="0.2">
      <c r="A209" s="80"/>
      <c r="B209" s="80"/>
      <c r="C209" s="80"/>
      <c r="D209" s="80"/>
      <c r="E209" s="80"/>
      <c r="F209" s="80"/>
      <c r="G209" s="80"/>
      <c r="H209" s="80"/>
      <c r="I209" s="80"/>
      <c r="J209" s="80"/>
      <c r="K209" s="80"/>
      <c r="L209" s="80"/>
      <c r="M209" s="80"/>
      <c r="N209" s="80"/>
      <c r="O209" s="80"/>
      <c r="P209" s="80"/>
      <c r="Q209" s="80"/>
      <c r="R209" s="80"/>
      <c r="S209" s="80"/>
      <c r="T209" s="80"/>
      <c r="U209" s="80"/>
      <c r="V209" s="80"/>
      <c r="W209" s="80"/>
      <c r="X209" s="80"/>
      <c r="Y209" s="80"/>
      <c r="Z209" s="80"/>
      <c r="AA209" s="80"/>
      <c r="AB209" s="80"/>
      <c r="AC209" s="80"/>
      <c r="AD209" s="80"/>
      <c r="AE209" s="80"/>
      <c r="AF209" s="80"/>
      <c r="AG209" s="80"/>
      <c r="AH209" s="80"/>
    </row>
    <row r="210" spans="1:34" x14ac:dyDescent="0.2">
      <c r="A210" s="80"/>
      <c r="B210" s="80"/>
      <c r="C210" s="80"/>
      <c r="D210" s="80"/>
      <c r="E210" s="80"/>
      <c r="F210" s="80"/>
      <c r="G210" s="80"/>
      <c r="H210" s="80"/>
      <c r="I210" s="80"/>
      <c r="J210" s="80"/>
      <c r="K210" s="80"/>
      <c r="L210" s="80"/>
      <c r="M210" s="80"/>
      <c r="N210" s="80"/>
      <c r="O210" s="80"/>
      <c r="P210" s="80"/>
      <c r="Q210" s="80"/>
      <c r="R210" s="80"/>
      <c r="S210" s="80"/>
      <c r="T210" s="80"/>
      <c r="U210" s="80"/>
      <c r="V210" s="80"/>
      <c r="W210" s="80"/>
      <c r="X210" s="80"/>
      <c r="Y210" s="80"/>
      <c r="Z210" s="80"/>
      <c r="AA210" s="80"/>
      <c r="AB210" s="80"/>
      <c r="AC210" s="80"/>
      <c r="AD210" s="80"/>
      <c r="AE210" s="80"/>
      <c r="AF210" s="80"/>
      <c r="AG210" s="80"/>
      <c r="AH210" s="80"/>
    </row>
    <row r="211" spans="1:34" x14ac:dyDescent="0.2">
      <c r="A211" s="80"/>
      <c r="B211" s="80"/>
      <c r="C211" s="80"/>
      <c r="D211" s="80"/>
      <c r="E211" s="80"/>
      <c r="F211" s="80"/>
      <c r="G211" s="80"/>
      <c r="H211" s="80"/>
      <c r="I211" s="80"/>
      <c r="J211" s="80"/>
      <c r="K211" s="80"/>
      <c r="L211" s="80"/>
      <c r="M211" s="80"/>
      <c r="N211" s="80"/>
      <c r="O211" s="80"/>
      <c r="P211" s="80"/>
      <c r="Q211" s="80"/>
      <c r="R211" s="80"/>
      <c r="S211" s="80"/>
      <c r="T211" s="80"/>
      <c r="U211" s="80"/>
      <c r="V211" s="80"/>
      <c r="W211" s="80"/>
      <c r="X211" s="80"/>
      <c r="Y211" s="80"/>
      <c r="Z211" s="80"/>
      <c r="AA211" s="80"/>
      <c r="AB211" s="80"/>
      <c r="AC211" s="80"/>
      <c r="AD211" s="80"/>
      <c r="AE211" s="80"/>
      <c r="AF211" s="80"/>
      <c r="AG211" s="80"/>
      <c r="AH211" s="80"/>
    </row>
    <row r="212" spans="1:34" x14ac:dyDescent="0.2">
      <c r="A212" s="80"/>
      <c r="B212" s="80"/>
      <c r="C212" s="80"/>
      <c r="D212" s="80"/>
      <c r="E212" s="80"/>
      <c r="F212" s="80"/>
      <c r="G212" s="80"/>
      <c r="H212" s="80"/>
      <c r="I212" s="80"/>
      <c r="J212" s="80"/>
      <c r="K212" s="80"/>
      <c r="L212" s="80"/>
      <c r="M212" s="80"/>
      <c r="N212" s="80"/>
      <c r="O212" s="80"/>
      <c r="P212" s="80"/>
      <c r="Q212" s="80"/>
      <c r="R212" s="80"/>
      <c r="S212" s="80"/>
      <c r="T212" s="80"/>
      <c r="U212" s="80"/>
      <c r="V212" s="80"/>
      <c r="W212" s="80"/>
      <c r="X212" s="80"/>
      <c r="Y212" s="80"/>
      <c r="Z212" s="80"/>
      <c r="AA212" s="80"/>
      <c r="AB212" s="80"/>
      <c r="AC212" s="80"/>
      <c r="AD212" s="80"/>
      <c r="AE212" s="80"/>
      <c r="AF212" s="80"/>
      <c r="AG212" s="80"/>
      <c r="AH212" s="80"/>
    </row>
    <row r="213" spans="1:34" x14ac:dyDescent="0.2">
      <c r="A213" s="80"/>
      <c r="B213" s="80"/>
      <c r="C213" s="80"/>
      <c r="D213" s="80"/>
      <c r="E213" s="80"/>
      <c r="F213" s="80"/>
      <c r="G213" s="80"/>
      <c r="H213" s="80"/>
      <c r="I213" s="80"/>
      <c r="J213" s="80"/>
      <c r="K213" s="80"/>
      <c r="L213" s="80"/>
      <c r="M213" s="80"/>
      <c r="N213" s="80"/>
      <c r="O213" s="80"/>
      <c r="P213" s="80"/>
      <c r="Q213" s="80"/>
      <c r="R213" s="80"/>
      <c r="S213" s="80"/>
      <c r="T213" s="80"/>
      <c r="U213" s="80"/>
      <c r="V213" s="80"/>
      <c r="W213" s="80"/>
      <c r="X213" s="80"/>
      <c r="Y213" s="80"/>
      <c r="Z213" s="80"/>
      <c r="AA213" s="80"/>
      <c r="AB213" s="80"/>
      <c r="AC213" s="80"/>
      <c r="AD213" s="80"/>
      <c r="AE213" s="80"/>
      <c r="AF213" s="80"/>
      <c r="AG213" s="80"/>
      <c r="AH213" s="80"/>
    </row>
    <row r="214" spans="1:34" x14ac:dyDescent="0.2">
      <c r="A214" s="80"/>
      <c r="B214" s="80"/>
      <c r="C214" s="80"/>
      <c r="D214" s="80"/>
      <c r="E214" s="80"/>
      <c r="F214" s="80"/>
      <c r="G214" s="80"/>
      <c r="H214" s="80"/>
      <c r="I214" s="80"/>
      <c r="J214" s="80"/>
      <c r="K214" s="80"/>
      <c r="L214" s="80"/>
      <c r="M214" s="80"/>
      <c r="N214" s="80"/>
      <c r="O214" s="80"/>
      <c r="P214" s="80"/>
      <c r="Q214" s="80"/>
      <c r="R214" s="80"/>
      <c r="S214" s="80"/>
      <c r="T214" s="80"/>
      <c r="U214" s="80"/>
      <c r="V214" s="80"/>
      <c r="W214" s="80"/>
      <c r="X214" s="80"/>
      <c r="Y214" s="80"/>
      <c r="Z214" s="80"/>
      <c r="AA214" s="80"/>
      <c r="AB214" s="80"/>
      <c r="AC214" s="80"/>
      <c r="AD214" s="80"/>
      <c r="AE214" s="80"/>
      <c r="AF214" s="80"/>
      <c r="AG214" s="80"/>
      <c r="AH214" s="80"/>
    </row>
    <row r="215" spans="1:34" x14ac:dyDescent="0.2">
      <c r="A215" s="80"/>
      <c r="B215" s="80"/>
      <c r="C215" s="80"/>
      <c r="D215" s="80"/>
      <c r="E215" s="80"/>
      <c r="F215" s="80"/>
      <c r="G215" s="80"/>
      <c r="H215" s="80"/>
      <c r="I215" s="80"/>
      <c r="J215" s="80"/>
      <c r="K215" s="80"/>
      <c r="L215" s="80"/>
      <c r="M215" s="80"/>
      <c r="N215" s="80"/>
      <c r="O215" s="80"/>
      <c r="P215" s="80"/>
      <c r="Q215" s="80"/>
      <c r="R215" s="80"/>
      <c r="S215" s="80"/>
      <c r="T215" s="80"/>
      <c r="U215" s="80"/>
      <c r="V215" s="80"/>
      <c r="W215" s="80"/>
      <c r="X215" s="80"/>
      <c r="Y215" s="80"/>
      <c r="Z215" s="80"/>
      <c r="AA215" s="80"/>
      <c r="AB215" s="80"/>
      <c r="AC215" s="80"/>
      <c r="AD215" s="80"/>
      <c r="AE215" s="80"/>
      <c r="AF215" s="80"/>
      <c r="AG215" s="80"/>
      <c r="AH215" s="80"/>
    </row>
    <row r="216" spans="1:34" x14ac:dyDescent="0.2">
      <c r="A216" s="80"/>
      <c r="B216" s="80"/>
      <c r="C216" s="80"/>
      <c r="D216" s="80"/>
      <c r="E216" s="80"/>
      <c r="F216" s="80"/>
      <c r="G216" s="80"/>
      <c r="H216" s="80"/>
      <c r="I216" s="80"/>
      <c r="J216" s="80"/>
      <c r="K216" s="80"/>
      <c r="L216" s="80"/>
      <c r="M216" s="80"/>
      <c r="N216" s="80"/>
      <c r="O216" s="80"/>
      <c r="P216" s="80"/>
      <c r="Q216" s="80"/>
      <c r="R216" s="80"/>
      <c r="S216" s="80"/>
      <c r="T216" s="80"/>
      <c r="U216" s="80"/>
      <c r="V216" s="80"/>
      <c r="W216" s="80"/>
      <c r="X216" s="80"/>
      <c r="Y216" s="80"/>
      <c r="Z216" s="80"/>
      <c r="AA216" s="80"/>
      <c r="AB216" s="80"/>
      <c r="AC216" s="80"/>
      <c r="AD216" s="80"/>
      <c r="AE216" s="80"/>
      <c r="AF216" s="80"/>
      <c r="AG216" s="80"/>
      <c r="AH216" s="80"/>
    </row>
    <row r="217" spans="1:34" x14ac:dyDescent="0.2">
      <c r="A217" s="80"/>
      <c r="B217" s="80"/>
      <c r="C217" s="80"/>
      <c r="D217" s="80"/>
      <c r="E217" s="80"/>
      <c r="F217" s="80"/>
      <c r="G217" s="80"/>
      <c r="H217" s="80"/>
      <c r="I217" s="80"/>
      <c r="J217" s="80"/>
      <c r="K217" s="80"/>
      <c r="L217" s="80"/>
      <c r="M217" s="80"/>
      <c r="N217" s="80"/>
      <c r="O217" s="80"/>
      <c r="P217" s="80"/>
      <c r="Q217" s="80"/>
      <c r="R217" s="80"/>
      <c r="S217" s="80"/>
      <c r="T217" s="80"/>
      <c r="U217" s="80"/>
      <c r="V217" s="80"/>
      <c r="W217" s="80"/>
      <c r="X217" s="80"/>
      <c r="Y217" s="80"/>
      <c r="Z217" s="80"/>
      <c r="AA217" s="80"/>
      <c r="AB217" s="80"/>
      <c r="AC217" s="80"/>
      <c r="AD217" s="80"/>
      <c r="AE217" s="80"/>
      <c r="AF217" s="80"/>
      <c r="AG217" s="80"/>
      <c r="AH217" s="80"/>
    </row>
    <row r="218" spans="1:34" x14ac:dyDescent="0.2">
      <c r="A218" s="80"/>
      <c r="B218" s="80"/>
      <c r="C218" s="80"/>
      <c r="D218" s="80"/>
      <c r="E218" s="80"/>
      <c r="F218" s="80"/>
      <c r="G218" s="80"/>
      <c r="H218" s="80"/>
      <c r="I218" s="80"/>
      <c r="J218" s="80"/>
      <c r="K218" s="80"/>
      <c r="L218" s="80"/>
      <c r="M218" s="80"/>
      <c r="N218" s="80"/>
      <c r="O218" s="80"/>
      <c r="P218" s="80"/>
      <c r="Q218" s="80"/>
      <c r="R218" s="80"/>
      <c r="S218" s="80"/>
      <c r="T218" s="80"/>
      <c r="U218" s="80"/>
      <c r="V218" s="80"/>
      <c r="W218" s="80"/>
      <c r="X218" s="80"/>
      <c r="Y218" s="80"/>
      <c r="Z218" s="80"/>
      <c r="AA218" s="80"/>
      <c r="AB218" s="80"/>
      <c r="AC218" s="80"/>
      <c r="AD218" s="80"/>
      <c r="AE218" s="80"/>
      <c r="AF218" s="80"/>
      <c r="AG218" s="80"/>
      <c r="AH218" s="80"/>
    </row>
    <row r="219" spans="1:34" x14ac:dyDescent="0.2">
      <c r="A219" s="80"/>
      <c r="B219" s="80"/>
      <c r="C219" s="80"/>
      <c r="D219" s="80"/>
      <c r="E219" s="80"/>
      <c r="F219" s="80"/>
      <c r="G219" s="80"/>
      <c r="H219" s="80"/>
      <c r="I219" s="80"/>
      <c r="J219" s="80"/>
      <c r="K219" s="80"/>
      <c r="L219" s="80"/>
      <c r="M219" s="80"/>
      <c r="N219" s="80"/>
      <c r="O219" s="80"/>
      <c r="P219" s="80"/>
      <c r="Q219" s="80"/>
      <c r="R219" s="80"/>
      <c r="S219" s="80"/>
      <c r="T219" s="80"/>
      <c r="U219" s="80"/>
      <c r="V219" s="80"/>
      <c r="W219" s="80"/>
      <c r="X219" s="80"/>
      <c r="Y219" s="80"/>
      <c r="Z219" s="80"/>
      <c r="AA219" s="80"/>
      <c r="AB219" s="80"/>
      <c r="AC219" s="80"/>
      <c r="AD219" s="80"/>
      <c r="AE219" s="80"/>
      <c r="AF219" s="80"/>
      <c r="AG219" s="80"/>
      <c r="AH219" s="80"/>
    </row>
    <row r="220" spans="1:34" x14ac:dyDescent="0.2">
      <c r="A220" s="80"/>
      <c r="B220" s="80"/>
      <c r="C220" s="80"/>
      <c r="D220" s="80"/>
      <c r="E220" s="80"/>
      <c r="F220" s="80"/>
      <c r="G220" s="80"/>
      <c r="H220" s="80"/>
      <c r="I220" s="80"/>
      <c r="J220" s="80"/>
      <c r="K220" s="80"/>
      <c r="L220" s="80"/>
      <c r="M220" s="80"/>
      <c r="N220" s="80"/>
      <c r="O220" s="80"/>
      <c r="P220" s="80"/>
      <c r="Q220" s="80"/>
      <c r="R220" s="80"/>
      <c r="S220" s="80"/>
      <c r="T220" s="80"/>
      <c r="U220" s="80"/>
      <c r="V220" s="80"/>
      <c r="W220" s="80"/>
      <c r="X220" s="80"/>
      <c r="Y220" s="80"/>
      <c r="Z220" s="80"/>
      <c r="AA220" s="80"/>
      <c r="AB220" s="80"/>
      <c r="AC220" s="80"/>
      <c r="AD220" s="80"/>
      <c r="AE220" s="80"/>
      <c r="AF220" s="80"/>
      <c r="AG220" s="80"/>
      <c r="AH220" s="80"/>
    </row>
    <row r="221" spans="1:34" x14ac:dyDescent="0.2">
      <c r="A221" s="80"/>
      <c r="B221" s="80"/>
      <c r="C221" s="80"/>
      <c r="D221" s="80"/>
      <c r="E221" s="80"/>
      <c r="F221" s="80"/>
      <c r="G221" s="80"/>
      <c r="H221" s="80"/>
      <c r="I221" s="80"/>
      <c r="J221" s="80"/>
      <c r="K221" s="80"/>
      <c r="L221" s="80"/>
      <c r="M221" s="80"/>
      <c r="N221" s="80"/>
      <c r="O221" s="80"/>
      <c r="P221" s="80"/>
      <c r="Q221" s="80"/>
      <c r="R221" s="80"/>
      <c r="S221" s="80"/>
      <c r="T221" s="80"/>
      <c r="U221" s="80"/>
      <c r="V221" s="80"/>
      <c r="W221" s="80"/>
      <c r="X221" s="80"/>
      <c r="Y221" s="80"/>
      <c r="Z221" s="80"/>
      <c r="AA221" s="80"/>
      <c r="AB221" s="80"/>
      <c r="AC221" s="80"/>
      <c r="AD221" s="80"/>
      <c r="AE221" s="80"/>
      <c r="AF221" s="80"/>
      <c r="AG221" s="80"/>
      <c r="AH221" s="80"/>
    </row>
    <row r="222" spans="1:34" x14ac:dyDescent="0.2">
      <c r="A222" s="80"/>
      <c r="B222" s="80"/>
      <c r="C222" s="80"/>
      <c r="D222" s="80"/>
      <c r="E222" s="80"/>
      <c r="F222" s="80"/>
      <c r="G222" s="80"/>
      <c r="H222" s="80"/>
      <c r="I222" s="80"/>
      <c r="J222" s="80"/>
      <c r="K222" s="80"/>
      <c r="L222" s="80"/>
      <c r="M222" s="80"/>
      <c r="N222" s="80"/>
      <c r="O222" s="80"/>
      <c r="P222" s="80"/>
      <c r="Q222" s="80"/>
      <c r="R222" s="80"/>
      <c r="S222" s="80"/>
      <c r="T222" s="80"/>
      <c r="U222" s="80"/>
      <c r="V222" s="80"/>
      <c r="W222" s="80"/>
      <c r="X222" s="80"/>
      <c r="Y222" s="80"/>
      <c r="Z222" s="80"/>
      <c r="AA222" s="80"/>
      <c r="AB222" s="80"/>
      <c r="AC222" s="80"/>
      <c r="AD222" s="80"/>
      <c r="AE222" s="80"/>
      <c r="AF222" s="80"/>
      <c r="AG222" s="80"/>
      <c r="AH222" s="80"/>
    </row>
    <row r="223" spans="1:34" x14ac:dyDescent="0.2">
      <c r="A223" s="80"/>
      <c r="B223" s="80"/>
      <c r="C223" s="80"/>
      <c r="D223" s="80"/>
      <c r="E223" s="80"/>
      <c r="F223" s="80"/>
      <c r="G223" s="80"/>
      <c r="H223" s="80"/>
      <c r="I223" s="80"/>
      <c r="J223" s="80"/>
      <c r="K223" s="80"/>
      <c r="L223" s="80"/>
      <c r="M223" s="80"/>
      <c r="N223" s="80"/>
      <c r="O223" s="80"/>
      <c r="P223" s="80"/>
      <c r="Q223" s="80"/>
      <c r="R223" s="80"/>
      <c r="S223" s="80"/>
      <c r="T223" s="80"/>
      <c r="U223" s="80"/>
      <c r="V223" s="80"/>
      <c r="W223" s="80"/>
      <c r="X223" s="80"/>
      <c r="Y223" s="80"/>
      <c r="Z223" s="80"/>
      <c r="AA223" s="80"/>
      <c r="AB223" s="80"/>
      <c r="AC223" s="80"/>
      <c r="AD223" s="80"/>
      <c r="AE223" s="80"/>
      <c r="AF223" s="80"/>
      <c r="AG223" s="80"/>
      <c r="AH223" s="80"/>
    </row>
    <row r="224" spans="1:34" x14ac:dyDescent="0.2">
      <c r="A224" s="80"/>
      <c r="B224" s="80"/>
      <c r="C224" s="80"/>
      <c r="D224" s="80"/>
      <c r="E224" s="80"/>
      <c r="F224" s="80"/>
      <c r="G224" s="80"/>
      <c r="H224" s="80"/>
      <c r="I224" s="80"/>
      <c r="J224" s="80"/>
      <c r="K224" s="80"/>
      <c r="L224" s="80"/>
      <c r="M224" s="80"/>
      <c r="N224" s="80"/>
      <c r="O224" s="80"/>
      <c r="P224" s="80"/>
      <c r="Q224" s="80"/>
      <c r="R224" s="80"/>
      <c r="S224" s="80"/>
      <c r="T224" s="80"/>
      <c r="U224" s="80"/>
      <c r="V224" s="80"/>
      <c r="W224" s="80"/>
      <c r="X224" s="80"/>
      <c r="Y224" s="80"/>
      <c r="Z224" s="80"/>
      <c r="AA224" s="80"/>
      <c r="AB224" s="80"/>
      <c r="AC224" s="80"/>
      <c r="AD224" s="80"/>
      <c r="AE224" s="80"/>
      <c r="AF224" s="80"/>
      <c r="AG224" s="80"/>
      <c r="AH224" s="80"/>
    </row>
    <row r="225" spans="1:34" x14ac:dyDescent="0.2">
      <c r="A225" s="80"/>
      <c r="B225" s="80"/>
      <c r="C225" s="80"/>
      <c r="D225" s="80"/>
      <c r="E225" s="80"/>
      <c r="F225" s="80"/>
      <c r="G225" s="80"/>
      <c r="H225" s="80"/>
      <c r="I225" s="80"/>
      <c r="J225" s="80"/>
      <c r="K225" s="80"/>
      <c r="L225" s="80"/>
      <c r="M225" s="80"/>
      <c r="N225" s="80"/>
      <c r="O225" s="80"/>
      <c r="P225" s="80"/>
      <c r="Q225" s="80"/>
      <c r="R225" s="80"/>
      <c r="S225" s="80"/>
      <c r="T225" s="80"/>
      <c r="U225" s="80"/>
      <c r="V225" s="80"/>
      <c r="W225" s="80"/>
      <c r="X225" s="80"/>
      <c r="Y225" s="80"/>
      <c r="Z225" s="80"/>
      <c r="AA225" s="80"/>
      <c r="AB225" s="80"/>
      <c r="AC225" s="80"/>
      <c r="AD225" s="80"/>
      <c r="AE225" s="80"/>
      <c r="AF225" s="80"/>
      <c r="AG225" s="80"/>
      <c r="AH225" s="80"/>
    </row>
    <row r="226" spans="1:34" x14ac:dyDescent="0.2">
      <c r="A226" s="80"/>
      <c r="B226" s="80"/>
      <c r="C226" s="80"/>
      <c r="D226" s="80"/>
      <c r="E226" s="80"/>
      <c r="F226" s="80"/>
      <c r="G226" s="80"/>
      <c r="H226" s="80"/>
      <c r="I226" s="80"/>
      <c r="J226" s="80"/>
      <c r="K226" s="80"/>
      <c r="L226" s="80"/>
      <c r="M226" s="80"/>
      <c r="N226" s="80"/>
      <c r="O226" s="80"/>
      <c r="P226" s="80"/>
      <c r="Q226" s="80"/>
      <c r="R226" s="80"/>
      <c r="S226" s="80"/>
      <c r="T226" s="80"/>
      <c r="U226" s="80"/>
      <c r="V226" s="80"/>
      <c r="W226" s="80"/>
      <c r="X226" s="80"/>
      <c r="Y226" s="80"/>
      <c r="Z226" s="80"/>
      <c r="AA226" s="80"/>
      <c r="AB226" s="80"/>
      <c r="AC226" s="80"/>
      <c r="AD226" s="80"/>
      <c r="AE226" s="80"/>
      <c r="AF226" s="80"/>
      <c r="AG226" s="80"/>
      <c r="AH226" s="80"/>
    </row>
    <row r="227" spans="1:34" x14ac:dyDescent="0.2">
      <c r="A227" s="80"/>
      <c r="B227" s="80"/>
      <c r="C227" s="80"/>
      <c r="D227" s="80"/>
      <c r="E227" s="80"/>
      <c r="F227" s="80"/>
      <c r="G227" s="80"/>
      <c r="H227" s="80"/>
      <c r="I227" s="80"/>
      <c r="J227" s="80"/>
      <c r="K227" s="80"/>
      <c r="L227" s="80"/>
      <c r="M227" s="80"/>
      <c r="N227" s="80"/>
      <c r="O227" s="80"/>
      <c r="P227" s="80"/>
      <c r="Q227" s="80"/>
      <c r="R227" s="80"/>
      <c r="S227" s="80"/>
      <c r="T227" s="80"/>
      <c r="U227" s="80"/>
      <c r="V227" s="80"/>
      <c r="W227" s="80"/>
      <c r="X227" s="80"/>
      <c r="Y227" s="80"/>
      <c r="Z227" s="80"/>
      <c r="AA227" s="80"/>
      <c r="AB227" s="80"/>
      <c r="AC227" s="80"/>
      <c r="AD227" s="80"/>
      <c r="AE227" s="80"/>
      <c r="AF227" s="80"/>
      <c r="AG227" s="80"/>
      <c r="AH227" s="80"/>
    </row>
    <row r="228" spans="1:34" x14ac:dyDescent="0.2">
      <c r="A228" s="80"/>
      <c r="B228" s="80"/>
      <c r="C228" s="80"/>
      <c r="D228" s="80"/>
      <c r="E228" s="80"/>
      <c r="F228" s="80"/>
      <c r="G228" s="80"/>
      <c r="H228" s="80"/>
      <c r="I228" s="80"/>
      <c r="J228" s="80"/>
      <c r="K228" s="80"/>
      <c r="L228" s="80"/>
      <c r="M228" s="80"/>
      <c r="N228" s="80"/>
      <c r="O228" s="80"/>
      <c r="P228" s="80"/>
      <c r="Q228" s="80"/>
      <c r="R228" s="80"/>
      <c r="S228" s="80"/>
      <c r="T228" s="80"/>
      <c r="U228" s="80"/>
      <c r="V228" s="80"/>
      <c r="W228" s="80"/>
      <c r="X228" s="80"/>
      <c r="Y228" s="80"/>
      <c r="Z228" s="80"/>
      <c r="AA228" s="80"/>
      <c r="AB228" s="80"/>
      <c r="AC228" s="80"/>
      <c r="AD228" s="80"/>
      <c r="AE228" s="80"/>
      <c r="AF228" s="80"/>
      <c r="AG228" s="80"/>
      <c r="AH228" s="80"/>
    </row>
    <row r="229" spans="1:34" x14ac:dyDescent="0.2">
      <c r="A229" s="80"/>
      <c r="B229" s="80"/>
      <c r="C229" s="80"/>
      <c r="D229" s="80"/>
      <c r="E229" s="80"/>
      <c r="F229" s="80"/>
      <c r="G229" s="80"/>
      <c r="H229" s="80"/>
      <c r="I229" s="80"/>
      <c r="J229" s="80"/>
      <c r="K229" s="80"/>
      <c r="L229" s="80"/>
      <c r="M229" s="80"/>
      <c r="N229" s="80"/>
      <c r="O229" s="80"/>
      <c r="P229" s="80"/>
      <c r="Q229" s="80"/>
      <c r="R229" s="80"/>
      <c r="S229" s="80"/>
      <c r="T229" s="80"/>
      <c r="U229" s="80"/>
      <c r="V229" s="80"/>
      <c r="W229" s="80"/>
      <c r="X229" s="80"/>
      <c r="Y229" s="80"/>
      <c r="Z229" s="80"/>
      <c r="AA229" s="80"/>
      <c r="AB229" s="80"/>
      <c r="AC229" s="80"/>
      <c r="AD229" s="80"/>
      <c r="AE229" s="80"/>
      <c r="AF229" s="80"/>
      <c r="AG229" s="80"/>
      <c r="AH229" s="80"/>
    </row>
    <row r="230" spans="1:34" x14ac:dyDescent="0.2">
      <c r="A230" s="80"/>
      <c r="B230" s="80"/>
      <c r="C230" s="80"/>
      <c r="D230" s="80"/>
      <c r="E230" s="80"/>
      <c r="F230" s="80"/>
      <c r="G230" s="80"/>
      <c r="H230" s="80"/>
      <c r="I230" s="80"/>
      <c r="J230" s="80"/>
      <c r="K230" s="80"/>
      <c r="L230" s="80"/>
      <c r="M230" s="80"/>
      <c r="N230" s="80"/>
      <c r="O230" s="80"/>
      <c r="P230" s="80"/>
      <c r="Q230" s="80"/>
      <c r="R230" s="80"/>
      <c r="S230" s="80"/>
      <c r="T230" s="80"/>
      <c r="U230" s="80"/>
      <c r="V230" s="80"/>
      <c r="W230" s="80"/>
      <c r="X230" s="80"/>
      <c r="Y230" s="80"/>
      <c r="Z230" s="80"/>
      <c r="AA230" s="80"/>
      <c r="AB230" s="80"/>
      <c r="AC230" s="80"/>
      <c r="AD230" s="80"/>
      <c r="AE230" s="80"/>
      <c r="AF230" s="80"/>
      <c r="AG230" s="80"/>
      <c r="AH230" s="80"/>
    </row>
    <row r="231" spans="1:34" x14ac:dyDescent="0.2">
      <c r="A231" s="80"/>
      <c r="B231" s="80"/>
      <c r="C231" s="80"/>
      <c r="D231" s="80"/>
      <c r="E231" s="80"/>
      <c r="F231" s="80"/>
      <c r="G231" s="80"/>
      <c r="H231" s="80"/>
      <c r="I231" s="80"/>
      <c r="J231" s="80"/>
      <c r="K231" s="80"/>
      <c r="L231" s="80"/>
      <c r="M231" s="80"/>
      <c r="N231" s="80"/>
      <c r="O231" s="80"/>
      <c r="P231" s="80"/>
      <c r="Q231" s="80"/>
      <c r="R231" s="80"/>
      <c r="S231" s="80"/>
      <c r="T231" s="80"/>
      <c r="U231" s="80"/>
      <c r="V231" s="80"/>
      <c r="W231" s="80"/>
      <c r="X231" s="80"/>
      <c r="Y231" s="80"/>
      <c r="Z231" s="80"/>
      <c r="AA231" s="80"/>
      <c r="AB231" s="80"/>
      <c r="AC231" s="80"/>
      <c r="AD231" s="80"/>
      <c r="AE231" s="80"/>
      <c r="AF231" s="80"/>
      <c r="AG231" s="80"/>
      <c r="AH231" s="80"/>
    </row>
    <row r="232" spans="1:34" x14ac:dyDescent="0.2">
      <c r="A232" s="80"/>
      <c r="B232" s="80"/>
      <c r="C232" s="80"/>
      <c r="D232" s="80"/>
      <c r="E232" s="80"/>
      <c r="F232" s="80"/>
      <c r="G232" s="80"/>
      <c r="H232" s="80"/>
      <c r="I232" s="80"/>
      <c r="J232" s="80"/>
      <c r="K232" s="80"/>
      <c r="L232" s="80"/>
      <c r="M232" s="80"/>
      <c r="N232" s="80"/>
      <c r="O232" s="80"/>
      <c r="P232" s="80"/>
      <c r="Q232" s="80"/>
      <c r="R232" s="80"/>
      <c r="S232" s="80"/>
      <c r="T232" s="80"/>
      <c r="U232" s="80"/>
      <c r="V232" s="80"/>
      <c r="W232" s="80"/>
      <c r="X232" s="80"/>
      <c r="Y232" s="80"/>
      <c r="Z232" s="80"/>
      <c r="AA232" s="80"/>
      <c r="AB232" s="80"/>
      <c r="AC232" s="80"/>
      <c r="AD232" s="80"/>
      <c r="AE232" s="80"/>
      <c r="AF232" s="80"/>
      <c r="AG232" s="80"/>
      <c r="AH232" s="80"/>
    </row>
    <row r="233" spans="1:34" x14ac:dyDescent="0.2">
      <c r="A233" s="80"/>
      <c r="B233" s="80"/>
      <c r="C233" s="80"/>
      <c r="D233" s="80"/>
      <c r="E233" s="80"/>
      <c r="F233" s="80"/>
      <c r="G233" s="80"/>
      <c r="H233" s="80"/>
      <c r="I233" s="80"/>
      <c r="J233" s="80"/>
      <c r="K233" s="80"/>
      <c r="L233" s="80"/>
      <c r="M233" s="80"/>
      <c r="N233" s="80"/>
      <c r="O233" s="80"/>
      <c r="P233" s="80"/>
      <c r="Q233" s="80"/>
      <c r="R233" s="80"/>
      <c r="S233" s="80"/>
      <c r="T233" s="80"/>
      <c r="U233" s="80"/>
      <c r="V233" s="80"/>
      <c r="W233" s="80"/>
      <c r="X233" s="80"/>
      <c r="Y233" s="80"/>
      <c r="Z233" s="80"/>
      <c r="AA233" s="80"/>
      <c r="AB233" s="80"/>
      <c r="AC233" s="80"/>
      <c r="AD233" s="80"/>
      <c r="AE233" s="80"/>
      <c r="AF233" s="80"/>
      <c r="AG233" s="80"/>
      <c r="AH233" s="80"/>
    </row>
    <row r="234" spans="1:34" x14ac:dyDescent="0.2">
      <c r="A234" s="80"/>
      <c r="B234" s="80"/>
      <c r="C234" s="80"/>
      <c r="D234" s="80"/>
      <c r="E234" s="80"/>
      <c r="F234" s="80"/>
      <c r="G234" s="80"/>
      <c r="H234" s="80"/>
      <c r="I234" s="80"/>
      <c r="J234" s="80"/>
      <c r="K234" s="80"/>
      <c r="L234" s="80"/>
      <c r="M234" s="80"/>
      <c r="N234" s="80"/>
      <c r="O234" s="80"/>
      <c r="P234" s="80"/>
      <c r="Q234" s="80"/>
      <c r="R234" s="80"/>
      <c r="S234" s="80"/>
      <c r="T234" s="80"/>
      <c r="U234" s="80"/>
      <c r="V234" s="80"/>
      <c r="W234" s="80"/>
      <c r="X234" s="80"/>
      <c r="Y234" s="80"/>
      <c r="Z234" s="80"/>
      <c r="AA234" s="80"/>
      <c r="AB234" s="80"/>
      <c r="AC234" s="80"/>
      <c r="AD234" s="80"/>
      <c r="AE234" s="80"/>
      <c r="AF234" s="80"/>
      <c r="AG234" s="80"/>
      <c r="AH234" s="80"/>
    </row>
    <row r="235" spans="1:34" x14ac:dyDescent="0.2">
      <c r="A235" s="80"/>
      <c r="B235" s="80"/>
      <c r="C235" s="80"/>
      <c r="D235" s="80"/>
      <c r="E235" s="80"/>
      <c r="F235" s="80"/>
      <c r="G235" s="80"/>
      <c r="H235" s="80"/>
      <c r="I235" s="80"/>
      <c r="J235" s="80"/>
      <c r="K235" s="80"/>
      <c r="L235" s="80"/>
      <c r="M235" s="80"/>
      <c r="N235" s="80"/>
      <c r="O235" s="80"/>
      <c r="P235" s="80"/>
      <c r="Q235" s="80"/>
      <c r="R235" s="80"/>
      <c r="S235" s="80"/>
      <c r="T235" s="80"/>
      <c r="U235" s="80"/>
      <c r="V235" s="80"/>
      <c r="W235" s="80"/>
      <c r="X235" s="80"/>
      <c r="Y235" s="80"/>
      <c r="Z235" s="80"/>
      <c r="AA235" s="80"/>
      <c r="AB235" s="80"/>
      <c r="AC235" s="80"/>
      <c r="AD235" s="80"/>
      <c r="AE235" s="80"/>
      <c r="AF235" s="80"/>
      <c r="AG235" s="80"/>
      <c r="AH235" s="80"/>
    </row>
    <row r="236" spans="1:34" x14ac:dyDescent="0.2">
      <c r="A236" s="80"/>
      <c r="B236" s="80"/>
      <c r="C236" s="80"/>
      <c r="D236" s="80"/>
      <c r="E236" s="80"/>
      <c r="F236" s="80"/>
      <c r="G236" s="80"/>
      <c r="H236" s="80"/>
      <c r="I236" s="80"/>
      <c r="J236" s="80"/>
      <c r="K236" s="80"/>
      <c r="L236" s="80"/>
      <c r="M236" s="80"/>
      <c r="N236" s="80"/>
      <c r="O236" s="80"/>
      <c r="P236" s="80"/>
      <c r="Q236" s="80"/>
      <c r="R236" s="80"/>
      <c r="S236" s="80"/>
      <c r="T236" s="80"/>
      <c r="U236" s="80"/>
      <c r="V236" s="80"/>
      <c r="W236" s="80"/>
      <c r="X236" s="80"/>
      <c r="Y236" s="80"/>
      <c r="Z236" s="80"/>
      <c r="AA236" s="80"/>
      <c r="AB236" s="80"/>
      <c r="AC236" s="80"/>
      <c r="AD236" s="80"/>
      <c r="AE236" s="80"/>
      <c r="AF236" s="80"/>
      <c r="AG236" s="80"/>
      <c r="AH236" s="80"/>
    </row>
    <row r="237" spans="1:34" x14ac:dyDescent="0.2">
      <c r="A237" s="80"/>
      <c r="B237" s="80"/>
      <c r="C237" s="80"/>
      <c r="D237" s="80"/>
      <c r="E237" s="80"/>
      <c r="F237" s="80"/>
      <c r="G237" s="80"/>
      <c r="H237" s="80"/>
      <c r="I237" s="80"/>
      <c r="J237" s="80"/>
      <c r="K237" s="80"/>
      <c r="L237" s="80"/>
      <c r="M237" s="80"/>
      <c r="N237" s="80"/>
      <c r="O237" s="80"/>
      <c r="P237" s="80"/>
      <c r="Q237" s="80"/>
      <c r="R237" s="80"/>
      <c r="S237" s="80"/>
      <c r="T237" s="80"/>
      <c r="U237" s="80"/>
      <c r="V237" s="80"/>
      <c r="W237" s="80"/>
      <c r="X237" s="80"/>
      <c r="Y237" s="80"/>
      <c r="Z237" s="80"/>
      <c r="AA237" s="80"/>
      <c r="AB237" s="80"/>
      <c r="AC237" s="80"/>
      <c r="AD237" s="80"/>
      <c r="AE237" s="80"/>
      <c r="AF237" s="80"/>
      <c r="AG237" s="80"/>
      <c r="AH237" s="80"/>
    </row>
    <row r="238" spans="1:34" x14ac:dyDescent="0.2">
      <c r="A238" s="80"/>
      <c r="B238" s="80"/>
      <c r="C238" s="80"/>
      <c r="D238" s="80"/>
      <c r="E238" s="80"/>
      <c r="F238" s="80"/>
      <c r="G238" s="80"/>
      <c r="H238" s="80"/>
      <c r="I238" s="80"/>
      <c r="J238" s="80"/>
      <c r="K238" s="80"/>
      <c r="L238" s="80"/>
      <c r="M238" s="80"/>
      <c r="N238" s="80"/>
      <c r="O238" s="80"/>
      <c r="P238" s="80"/>
      <c r="Q238" s="80"/>
      <c r="R238" s="80"/>
      <c r="S238" s="80"/>
      <c r="T238" s="80"/>
      <c r="U238" s="80"/>
      <c r="V238" s="80"/>
      <c r="W238" s="80"/>
      <c r="X238" s="80"/>
      <c r="Y238" s="80"/>
      <c r="Z238" s="80"/>
      <c r="AA238" s="80"/>
      <c r="AB238" s="80"/>
      <c r="AC238" s="80"/>
      <c r="AD238" s="80"/>
      <c r="AE238" s="80"/>
      <c r="AF238" s="80"/>
      <c r="AG238" s="80"/>
      <c r="AH238" s="80"/>
    </row>
    <row r="239" spans="1:34" x14ac:dyDescent="0.2">
      <c r="A239" s="80"/>
      <c r="B239" s="80"/>
      <c r="C239" s="80"/>
      <c r="D239" s="80"/>
      <c r="E239" s="80"/>
      <c r="F239" s="80"/>
      <c r="G239" s="80"/>
      <c r="H239" s="80"/>
      <c r="I239" s="80"/>
      <c r="J239" s="80"/>
      <c r="K239" s="80"/>
      <c r="L239" s="80"/>
      <c r="M239" s="80"/>
      <c r="N239" s="80"/>
      <c r="O239" s="80"/>
      <c r="P239" s="80"/>
      <c r="Q239" s="80"/>
      <c r="R239" s="80"/>
      <c r="S239" s="80"/>
      <c r="T239" s="80"/>
      <c r="U239" s="80"/>
      <c r="V239" s="80"/>
      <c r="W239" s="80"/>
      <c r="X239" s="80"/>
      <c r="Y239" s="80"/>
      <c r="Z239" s="80"/>
      <c r="AA239" s="80"/>
      <c r="AB239" s="80"/>
      <c r="AC239" s="80"/>
      <c r="AD239" s="80"/>
      <c r="AE239" s="80"/>
      <c r="AF239" s="80"/>
      <c r="AG239" s="80"/>
      <c r="AH239" s="80"/>
    </row>
    <row r="240" spans="1:34" x14ac:dyDescent="0.2">
      <c r="A240" s="80"/>
      <c r="B240" s="80"/>
      <c r="C240" s="80"/>
      <c r="D240" s="80"/>
      <c r="E240" s="80"/>
      <c r="F240" s="80"/>
      <c r="G240" s="80"/>
      <c r="H240" s="80"/>
      <c r="I240" s="80"/>
      <c r="J240" s="80"/>
      <c r="K240" s="80"/>
      <c r="L240" s="80"/>
      <c r="M240" s="80"/>
      <c r="N240" s="80"/>
      <c r="O240" s="80"/>
      <c r="P240" s="80"/>
      <c r="Q240" s="80"/>
      <c r="R240" s="80"/>
      <c r="S240" s="80"/>
      <c r="T240" s="80"/>
      <c r="U240" s="80"/>
      <c r="V240" s="80"/>
      <c r="W240" s="80"/>
      <c r="X240" s="80"/>
      <c r="Y240" s="80"/>
      <c r="Z240" s="80"/>
      <c r="AA240" s="80"/>
      <c r="AB240" s="80"/>
      <c r="AC240" s="80"/>
      <c r="AD240" s="80"/>
      <c r="AE240" s="80"/>
      <c r="AF240" s="80"/>
      <c r="AG240" s="80"/>
      <c r="AH240" s="80"/>
    </row>
    <row r="241" spans="1:34" x14ac:dyDescent="0.2">
      <c r="A241" s="80"/>
      <c r="B241" s="80"/>
      <c r="C241" s="80"/>
      <c r="D241" s="80"/>
      <c r="E241" s="80"/>
      <c r="F241" s="80"/>
      <c r="G241" s="80"/>
      <c r="H241" s="80"/>
      <c r="I241" s="80"/>
      <c r="J241" s="80"/>
      <c r="K241" s="80"/>
      <c r="L241" s="80"/>
      <c r="M241" s="80"/>
      <c r="N241" s="80"/>
      <c r="O241" s="80"/>
      <c r="P241" s="80"/>
      <c r="Q241" s="80"/>
      <c r="R241" s="80"/>
      <c r="S241" s="80"/>
      <c r="T241" s="80"/>
      <c r="U241" s="80"/>
      <c r="V241" s="80"/>
      <c r="W241" s="80"/>
      <c r="X241" s="80"/>
      <c r="Y241" s="80"/>
      <c r="Z241" s="80"/>
      <c r="AA241" s="80"/>
      <c r="AB241" s="80"/>
      <c r="AC241" s="80"/>
      <c r="AD241" s="80"/>
      <c r="AE241" s="80"/>
      <c r="AF241" s="80"/>
      <c r="AG241" s="80"/>
      <c r="AH241" s="80"/>
    </row>
    <row r="242" spans="1:34" x14ac:dyDescent="0.2">
      <c r="A242" s="80"/>
      <c r="B242" s="80"/>
      <c r="C242" s="80"/>
      <c r="D242" s="80"/>
      <c r="E242" s="80"/>
      <c r="F242" s="80"/>
      <c r="G242" s="80"/>
      <c r="H242" s="80"/>
      <c r="I242" s="80"/>
      <c r="J242" s="80"/>
      <c r="K242" s="80"/>
      <c r="L242" s="80"/>
      <c r="M242" s="80"/>
      <c r="N242" s="80"/>
      <c r="O242" s="80"/>
      <c r="P242" s="80"/>
      <c r="Q242" s="80"/>
      <c r="R242" s="80"/>
      <c r="S242" s="80"/>
      <c r="T242" s="80"/>
      <c r="U242" s="80"/>
      <c r="V242" s="80"/>
      <c r="W242" s="80"/>
      <c r="X242" s="80"/>
      <c r="Y242" s="80"/>
      <c r="Z242" s="80"/>
      <c r="AA242" s="80"/>
      <c r="AB242" s="80"/>
      <c r="AC242" s="80"/>
      <c r="AD242" s="80"/>
      <c r="AE242" s="80"/>
      <c r="AF242" s="80"/>
      <c r="AG242" s="80"/>
      <c r="AH242" s="80"/>
    </row>
    <row r="243" spans="1:34" x14ac:dyDescent="0.2">
      <c r="A243" s="80"/>
      <c r="B243" s="80"/>
      <c r="C243" s="80"/>
      <c r="D243" s="80"/>
      <c r="E243" s="80"/>
      <c r="F243" s="80"/>
      <c r="G243" s="80"/>
      <c r="H243" s="80"/>
      <c r="I243" s="80"/>
      <c r="J243" s="80"/>
      <c r="K243" s="80"/>
      <c r="L243" s="80"/>
      <c r="M243" s="80"/>
      <c r="N243" s="80"/>
      <c r="O243" s="80"/>
      <c r="P243" s="80"/>
      <c r="Q243" s="80"/>
      <c r="R243" s="80"/>
      <c r="S243" s="80"/>
      <c r="T243" s="80"/>
      <c r="U243" s="80"/>
      <c r="V243" s="80"/>
      <c r="W243" s="80"/>
      <c r="X243" s="80"/>
      <c r="Y243" s="80"/>
      <c r="Z243" s="80"/>
      <c r="AA243" s="80"/>
      <c r="AB243" s="80"/>
      <c r="AC243" s="80"/>
      <c r="AD243" s="80"/>
      <c r="AE243" s="80"/>
      <c r="AF243" s="80"/>
      <c r="AG243" s="80"/>
      <c r="AH243" s="80"/>
    </row>
    <row r="244" spans="1:34" x14ac:dyDescent="0.2">
      <c r="A244" s="80"/>
      <c r="B244" s="80"/>
      <c r="C244" s="80"/>
      <c r="D244" s="80"/>
      <c r="E244" s="80"/>
      <c r="F244" s="80"/>
      <c r="G244" s="80"/>
      <c r="H244" s="80"/>
      <c r="I244" s="80"/>
      <c r="J244" s="80"/>
      <c r="K244" s="80"/>
      <c r="L244" s="80"/>
      <c r="M244" s="80"/>
      <c r="N244" s="80"/>
      <c r="O244" s="80"/>
      <c r="P244" s="80"/>
      <c r="Q244" s="80"/>
      <c r="R244" s="80"/>
      <c r="S244" s="80"/>
      <c r="T244" s="80"/>
      <c r="U244" s="80"/>
      <c r="V244" s="80"/>
      <c r="W244" s="80"/>
      <c r="X244" s="80"/>
      <c r="Y244" s="80"/>
      <c r="Z244" s="80"/>
      <c r="AA244" s="80"/>
      <c r="AB244" s="80"/>
      <c r="AC244" s="80"/>
      <c r="AD244" s="80"/>
      <c r="AE244" s="80"/>
      <c r="AF244" s="80"/>
      <c r="AG244" s="80"/>
      <c r="AH244" s="80"/>
    </row>
    <row r="245" spans="1:34" x14ac:dyDescent="0.2">
      <c r="A245" s="80"/>
      <c r="B245" s="80"/>
      <c r="C245" s="80"/>
      <c r="D245" s="80"/>
      <c r="E245" s="80"/>
      <c r="F245" s="80"/>
      <c r="G245" s="80"/>
      <c r="H245" s="80"/>
      <c r="I245" s="80"/>
      <c r="J245" s="80"/>
      <c r="K245" s="80"/>
      <c r="L245" s="80"/>
      <c r="M245" s="80"/>
      <c r="N245" s="80"/>
      <c r="O245" s="80"/>
      <c r="P245" s="80"/>
      <c r="Q245" s="80"/>
      <c r="R245" s="80"/>
      <c r="S245" s="80"/>
      <c r="T245" s="80"/>
      <c r="U245" s="80"/>
      <c r="V245" s="80"/>
      <c r="W245" s="80"/>
      <c r="X245" s="80"/>
      <c r="Y245" s="80"/>
      <c r="Z245" s="80"/>
      <c r="AA245" s="80"/>
      <c r="AB245" s="80"/>
      <c r="AC245" s="80"/>
      <c r="AD245" s="80"/>
      <c r="AE245" s="80"/>
      <c r="AF245" s="80"/>
      <c r="AG245" s="80"/>
      <c r="AH245" s="80"/>
    </row>
  </sheetData>
  <pageMargins left="0.7" right="0.7" top="1.1811023622047201" bottom="0.75" header="0.3" footer="0.3"/>
  <pageSetup paperSize="9" orientation="portrait" horizontalDpi="90" verticalDpi="90" r:id="rId1"/>
  <headerFooter scaleWithDoc="0">
    <oddHeader>&amp;L&amp;"NotesEsa,Regular"&amp;9&amp;R&amp;G</oddHeader>
    <oddFooter>&amp;L&amp;"Georgia,Regular"&amp;9Page &amp;P / &amp;N&amp;R&amp;G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R175"/>
  <sheetViews>
    <sheetView zoomScale="55" zoomScaleNormal="55" workbookViewId="0">
      <selection activeCell="E38" sqref="E38:F38"/>
    </sheetView>
  </sheetViews>
  <sheetFormatPr defaultColWidth="8.42578125" defaultRowHeight="14.25" x14ac:dyDescent="0.25"/>
  <cols>
    <col min="1" max="1" width="46.42578125" style="85" bestFit="1" customWidth="1"/>
    <col min="2" max="2" width="11.85546875" style="85" bestFit="1" customWidth="1"/>
    <col min="3" max="3" width="10.7109375" style="108" customWidth="1"/>
    <col min="4" max="4" width="5.28515625" style="85" customWidth="1"/>
    <col min="5" max="5" width="14.42578125" style="85" customWidth="1"/>
    <col min="6" max="6" width="15.42578125" style="85" customWidth="1"/>
    <col min="7" max="7" width="13.85546875" style="85" customWidth="1"/>
    <col min="8" max="8" width="11.5703125" style="85" customWidth="1"/>
    <col min="9" max="9" width="12.5703125" style="85" customWidth="1"/>
    <col min="10" max="10" width="8.42578125" style="85" bestFit="1" customWidth="1"/>
    <col min="11" max="11" width="14.28515625" style="85" bestFit="1" customWidth="1"/>
    <col min="12" max="12" width="11.5703125" style="85" customWidth="1"/>
    <col min="13" max="13" width="32" style="85" bestFit="1" customWidth="1"/>
    <col min="14" max="14" width="11.5703125" style="85" customWidth="1"/>
    <col min="15" max="17" width="9.85546875" style="85" customWidth="1"/>
    <col min="18" max="18" width="12" style="85" bestFit="1" customWidth="1"/>
    <col min="19" max="19" width="21.42578125" style="85" bestFit="1" customWidth="1"/>
    <col min="20" max="20" width="13.140625" style="85" bestFit="1" customWidth="1"/>
    <col min="21" max="21" width="16.5703125" style="85" bestFit="1" customWidth="1"/>
    <col min="22" max="22" width="4.42578125" style="85" customWidth="1"/>
    <col min="23" max="25" width="8.42578125" style="85" customWidth="1"/>
    <col min="26" max="26" width="4.42578125" style="85" customWidth="1"/>
    <col min="27" max="29" width="8.42578125" style="85" customWidth="1"/>
    <col min="30" max="30" width="2.5703125" style="85" customWidth="1"/>
    <col min="31" max="34" width="8.42578125" style="85" customWidth="1"/>
    <col min="35" max="35" width="4.42578125" style="85" customWidth="1"/>
    <col min="36" max="38" width="8.42578125" style="85" customWidth="1"/>
    <col min="39" max="39" width="4.42578125" style="85" customWidth="1"/>
    <col min="40" max="42" width="8.42578125" style="85" customWidth="1"/>
    <col min="43" max="43" width="2.5703125" style="85" customWidth="1"/>
    <col min="44" max="16384" width="8.42578125" style="85"/>
  </cols>
  <sheetData>
    <row r="1" spans="1:19" ht="33" x14ac:dyDescent="0.6">
      <c r="A1" s="82" t="s">
        <v>144</v>
      </c>
      <c r="B1" s="83">
        <f>299792458</f>
        <v>299792458</v>
      </c>
      <c r="C1" s="84" t="s">
        <v>145</v>
      </c>
      <c r="E1" s="86" t="s">
        <v>146</v>
      </c>
      <c r="F1" s="86"/>
      <c r="G1" s="86"/>
      <c r="H1" s="86"/>
      <c r="I1" s="86"/>
      <c r="J1" s="86"/>
      <c r="K1" s="86"/>
      <c r="L1" s="86"/>
      <c r="M1" s="86"/>
      <c r="N1" s="87"/>
      <c r="O1" s="87"/>
      <c r="P1" s="87"/>
    </row>
    <row r="2" spans="1:19" ht="15" thickBot="1" x14ac:dyDescent="0.3">
      <c r="A2" s="88" t="s">
        <v>147</v>
      </c>
      <c r="B2" s="89">
        <f>6.6260755E-34</f>
        <v>6.6260755E-34</v>
      </c>
      <c r="C2" s="90" t="s">
        <v>148</v>
      </c>
      <c r="E2" s="87"/>
      <c r="O2" s="91"/>
    </row>
    <row r="3" spans="1:19" x14ac:dyDescent="0.25">
      <c r="A3" s="88" t="s">
        <v>149</v>
      </c>
      <c r="B3" s="89">
        <f>1.380658E-23</f>
        <v>1.3806580000000001E-23</v>
      </c>
      <c r="C3" s="90" t="s">
        <v>150</v>
      </c>
      <c r="E3" s="92" t="s">
        <v>151</v>
      </c>
      <c r="F3" s="93"/>
      <c r="G3" s="94" t="s">
        <v>152</v>
      </c>
      <c r="H3" s="95"/>
      <c r="I3" s="95"/>
      <c r="J3" s="95" t="s">
        <v>153</v>
      </c>
      <c r="K3" s="94" t="s">
        <v>154</v>
      </c>
      <c r="L3" s="96"/>
      <c r="M3" s="97"/>
      <c r="N3" s="95"/>
      <c r="O3" s="98"/>
      <c r="P3" s="95"/>
      <c r="Q3" s="95"/>
      <c r="R3" s="96"/>
    </row>
    <row r="4" spans="1:19" ht="15" thickBot="1" x14ac:dyDescent="0.3">
      <c r="A4" s="99" t="s">
        <v>155</v>
      </c>
      <c r="B4" s="100">
        <f>0.0000000567051</f>
        <v>5.6705100000000003E-8</v>
      </c>
      <c r="C4" s="101" t="s">
        <v>156</v>
      </c>
      <c r="E4" s="102" t="s">
        <v>157</v>
      </c>
      <c r="F4" s="103" t="s">
        <v>158</v>
      </c>
      <c r="G4" s="103" t="s">
        <v>159</v>
      </c>
      <c r="H4" s="103" t="s">
        <v>160</v>
      </c>
      <c r="I4" s="103" t="s">
        <v>161</v>
      </c>
      <c r="J4" s="103"/>
      <c r="K4" s="104" t="s">
        <v>158</v>
      </c>
      <c r="L4" s="105"/>
      <c r="M4" s="106" t="s">
        <v>159</v>
      </c>
      <c r="N4" s="104"/>
      <c r="O4" s="104" t="s">
        <v>160</v>
      </c>
      <c r="P4" s="104"/>
      <c r="Q4" s="104" t="s">
        <v>161</v>
      </c>
      <c r="R4" s="107"/>
    </row>
    <row r="5" spans="1:19" x14ac:dyDescent="0.25">
      <c r="E5" s="109">
        <v>0</v>
      </c>
      <c r="F5" s="85">
        <v>8.4</v>
      </c>
      <c r="G5" s="91">
        <f>$B$34*1.2*10^0</f>
        <v>1.2</v>
      </c>
      <c r="H5" s="91">
        <f>1.2*10^0*$B$34</f>
        <v>1.2</v>
      </c>
      <c r="I5" s="91">
        <f>1.2*10^0*$B$34</f>
        <v>1.2</v>
      </c>
      <c r="J5" s="91"/>
      <c r="K5" s="85">
        <f t="array" ref="K5:L5">LOGEST(F5:F6,E5:E6)</f>
        <v>0.99647343942365929</v>
      </c>
      <c r="L5" s="110">
        <v>8.4</v>
      </c>
      <c r="M5" s="111">
        <f t="array" ref="M5:N5">LOGEST(G5:G6,E5:E6)</f>
        <v>0.86267099598919128</v>
      </c>
      <c r="N5" s="91">
        <v>1.2000000000000013</v>
      </c>
      <c r="O5" s="91">
        <f t="array" ref="O5:P5">LOGEST(H5:H6,E5:E6)</f>
        <v>0.86300148430553925</v>
      </c>
      <c r="P5" s="91">
        <v>1.2000000000000004</v>
      </c>
      <c r="Q5" s="85">
        <f t="array" ref="Q5:R5">LOGEST(I5:I6,E5:E6)</f>
        <v>0.86354284336938314</v>
      </c>
      <c r="R5" s="112">
        <v>1.2000000000000024</v>
      </c>
      <c r="S5" s="91"/>
    </row>
    <row r="6" spans="1:19" ht="15" thickBot="1" x14ac:dyDescent="0.3">
      <c r="E6" s="109">
        <v>100</v>
      </c>
      <c r="F6" s="85">
        <v>5.9</v>
      </c>
      <c r="G6" s="91">
        <f>4.61*10^-7*$B$34</f>
        <v>4.6100000000000001E-7</v>
      </c>
      <c r="H6" s="91">
        <f>4.79*10^-7*$B$34</f>
        <v>4.7899999999999999E-7</v>
      </c>
      <c r="I6" s="91">
        <f>5.1*10^-7*$B$34</f>
        <v>5.0999999999999999E-7</v>
      </c>
      <c r="J6" s="91"/>
      <c r="K6" s="85">
        <f t="array" ref="K6:L6">LOGEST(F6:F7,E6:E7)</f>
        <v>1.0297072329929207</v>
      </c>
      <c r="L6" s="110">
        <v>0.31584621299500232</v>
      </c>
      <c r="M6" s="111">
        <f t="array" ref="M6:N6">LOGEST(G6:G7,E6:E7)</f>
        <v>0.89346112401831479</v>
      </c>
      <c r="N6" s="91">
        <v>3.5986108723599558E-2</v>
      </c>
      <c r="O6" s="91">
        <f t="array" ref="O6:P6">LOGEST(H6:H7,E6:E7)</f>
        <v>0.89443103759468146</v>
      </c>
      <c r="P6" s="91">
        <v>3.3546667989377735E-2</v>
      </c>
      <c r="Q6" s="85">
        <f t="array" ref="Q6:R6">LOGEST(I6:I7,E6:E7)</f>
        <v>0.89544970934785129</v>
      </c>
      <c r="R6" s="112">
        <v>3.1875000000000216E-2</v>
      </c>
      <c r="S6" s="91"/>
    </row>
    <row r="7" spans="1:19" ht="15" thickBot="1" x14ac:dyDescent="0.3">
      <c r="A7" s="113" t="s">
        <v>162</v>
      </c>
      <c r="B7" s="114">
        <v>132700000000</v>
      </c>
      <c r="C7" s="115" t="s">
        <v>163</v>
      </c>
      <c r="E7" s="109">
        <v>150</v>
      </c>
      <c r="F7" s="85">
        <v>25.5</v>
      </c>
      <c r="G7" s="91">
        <f>1.65*10^-9*$B$34</f>
        <v>1.6500000000000001E-9</v>
      </c>
      <c r="H7" s="91">
        <f>1.81*10^-9*$B$34</f>
        <v>1.8100000000000002E-9</v>
      </c>
      <c r="I7" s="91">
        <f>2.04*10^-9*$B$34</f>
        <v>2.04E-9</v>
      </c>
      <c r="J7" s="91"/>
      <c r="K7" s="85">
        <f t="array" ref="K7:L7">LOGEST(F7:F8,E7:E8)</f>
        <v>1.0077430733560648</v>
      </c>
      <c r="L7" s="110">
        <v>8.018015999999994</v>
      </c>
      <c r="M7" s="111">
        <f t="array" ref="M7:N7">LOGEST(G7:G8,E7:E8)</f>
        <v>0.95644218110239376</v>
      </c>
      <c r="N7" s="91">
        <v>1.3142432947406164E-6</v>
      </c>
      <c r="O7" s="91">
        <f t="array" ref="O7:P7">LOGEST(H7:H8,E7:E8)</f>
        <v>0.96141045125510749</v>
      </c>
      <c r="P7" s="91">
        <v>6.627545774349797E-7</v>
      </c>
      <c r="Q7" s="85">
        <f t="array" ref="Q7:R7">LOGEST(I7:I8,E7:E8)</f>
        <v>0.96546881378077976</v>
      </c>
      <c r="R7" s="112">
        <v>3.9709340956047757E-7</v>
      </c>
      <c r="S7" s="91"/>
    </row>
    <row r="8" spans="1:19" ht="15" thickBot="1" x14ac:dyDescent="0.3">
      <c r="E8" s="109">
        <v>200</v>
      </c>
      <c r="F8" s="85">
        <v>37.5</v>
      </c>
      <c r="G8" s="91">
        <f>1.78*10^-10*$B$34</f>
        <v>1.7800000000000001E-10</v>
      </c>
      <c r="H8" s="91">
        <f>2.53*10^-10*$B$34</f>
        <v>2.5300000000000001E-10</v>
      </c>
      <c r="I8" s="91">
        <f>3.52*10^-10*$B$34</f>
        <v>3.5200000000000003E-10</v>
      </c>
      <c r="J8" s="91"/>
      <c r="K8" s="85">
        <f t="array" ref="K8:L8">LOGEST(F8:F9,E8:E9)</f>
        <v>1.0035636789870466</v>
      </c>
      <c r="L8" s="110">
        <v>18.409597045466189</v>
      </c>
      <c r="M8" s="111">
        <f t="array" ref="M8:N8">LOGEST(G8:G9,E8:E9)</f>
        <v>0.96714701577121509</v>
      </c>
      <c r="N8" s="91">
        <v>1.4187987049891646E-7</v>
      </c>
      <c r="O8" s="91">
        <f t="array" ref="O8:P8">LOGEST(H8:H9,E8:E9)</f>
        <v>0.97239178546508487</v>
      </c>
      <c r="P8" s="91">
        <v>6.836979018839576E-8</v>
      </c>
      <c r="Q8" s="85">
        <f t="array" ref="Q8:R8">LOGEST(I8:I9,E8:E9)</f>
        <v>0.97628195923691496</v>
      </c>
      <c r="R8" s="112">
        <v>4.2804542175819242E-8</v>
      </c>
      <c r="S8" s="91"/>
    </row>
    <row r="9" spans="1:19" x14ac:dyDescent="0.25">
      <c r="A9" s="82" t="s">
        <v>164</v>
      </c>
      <c r="B9" s="116">
        <v>149600000</v>
      </c>
      <c r="C9" s="84" t="s">
        <v>165</v>
      </c>
      <c r="E9" s="109">
        <v>250</v>
      </c>
      <c r="F9" s="85">
        <v>44.8</v>
      </c>
      <c r="G9" s="91">
        <f>3.35*10^-11*$B$34</f>
        <v>3.3500000000000001E-11</v>
      </c>
      <c r="H9" s="91">
        <f>6.24*10^-11*$B$34</f>
        <v>6.2399999999999999E-11</v>
      </c>
      <c r="I9" s="91">
        <f>1.06*10^-10*$B$34</f>
        <v>1.0600000000000001E-10</v>
      </c>
      <c r="J9" s="91"/>
      <c r="K9" s="85">
        <f t="array" ref="K9:L9">LOGEST(F9:F10,E9:E10)</f>
        <v>1.0023186226113339</v>
      </c>
      <c r="L9" s="110">
        <v>25.108927269167818</v>
      </c>
      <c r="M9" s="111">
        <f t="array" ref="M9:N9">LOGEST(G9:G10,E9:E10)</f>
        <v>0.97222051708922141</v>
      </c>
      <c r="N9" s="91">
        <v>3.8357415185596573E-8</v>
      </c>
      <c r="O9" s="91">
        <f t="array" ref="O9:P9">LOGEST(H9:H10,E9:E10)</f>
        <v>0.97700548171152435</v>
      </c>
      <c r="P9" s="91">
        <v>2.0937965568000135E-8</v>
      </c>
      <c r="Q9" s="85">
        <f t="array" ref="Q9:R9">LOGEST(I9:I10,E9:E10)</f>
        <v>0.98050042536913595</v>
      </c>
      <c r="R9" s="112">
        <v>1.456663579927229E-8</v>
      </c>
      <c r="S9" s="91"/>
    </row>
    <row r="10" spans="1:19" x14ac:dyDescent="0.25">
      <c r="A10" s="88" t="s">
        <v>166</v>
      </c>
      <c r="B10" s="85">
        <v>365.25400000000002</v>
      </c>
      <c r="C10" s="90" t="s">
        <v>167</v>
      </c>
      <c r="E10" s="109">
        <v>300</v>
      </c>
      <c r="F10" s="85">
        <v>50.3</v>
      </c>
      <c r="G10" s="91">
        <f>8.19*10^-12*$B$34</f>
        <v>8.1899999999999996E-12</v>
      </c>
      <c r="H10" s="91">
        <f>1.95*10^-11*$B$34</f>
        <v>1.9499999999999997E-11</v>
      </c>
      <c r="I10" s="91">
        <f>3.96*10^-11*$B$34</f>
        <v>3.9599999999999998E-11</v>
      </c>
      <c r="J10" s="91"/>
      <c r="K10" s="85">
        <f t="array" ref="K10:L10">LOGEST(F10:F11,E10:E11)</f>
        <v>1.0017151715639681</v>
      </c>
      <c r="L10" s="110">
        <v>30.08101903544739</v>
      </c>
      <c r="M10" s="111">
        <f t="array" ref="M10:N10">LOGEST(G10:G11,E10:E11)</f>
        <v>0.97525601850620436</v>
      </c>
      <c r="N10" s="91">
        <v>1.5055395468750046E-8</v>
      </c>
      <c r="O10" s="91">
        <f t="array" ref="O10:P10">LOGEST(H10:H11,E10:E11)</f>
        <v>0.97966234659641926</v>
      </c>
      <c r="P10" s="91">
        <v>9.2706405771136565E-9</v>
      </c>
      <c r="Q10" s="85">
        <f t="array" ref="Q10:R10">LOGEST(I10:I11,E10:E11)</f>
        <v>0.98285628058069752</v>
      </c>
      <c r="R10" s="112">
        <v>7.0907148974368284E-9</v>
      </c>
      <c r="S10" s="91"/>
    </row>
    <row r="11" spans="1:19" x14ac:dyDescent="0.25">
      <c r="A11" s="88" t="s">
        <v>168</v>
      </c>
      <c r="B11" s="85">
        <v>6378.1369999999997</v>
      </c>
      <c r="C11" s="90" t="s">
        <v>165</v>
      </c>
      <c r="E11" s="109">
        <v>350</v>
      </c>
      <c r="F11" s="85">
        <v>54.8</v>
      </c>
      <c r="G11" s="91">
        <f>2.34*10^-12*$B$34</f>
        <v>2.3399999999999997E-12</v>
      </c>
      <c r="H11" s="91">
        <f>6.98*10^-12*$B$34</f>
        <v>6.9800000000000006E-12</v>
      </c>
      <c r="I11" s="91">
        <f>1.668*10^-11*$B$34</f>
        <v>1.6679999999999998E-11</v>
      </c>
      <c r="J11" s="91"/>
      <c r="K11" s="85">
        <f t="array" ref="K11:L11">LOGEST(F11:F12,E11:E12)</f>
        <v>1.0012046281980518</v>
      </c>
      <c r="L11" s="110">
        <v>35.957010369125094</v>
      </c>
      <c r="M11" s="111">
        <f t="array" ref="M11:N11">LOGEST(G11:G12,E11:E12)</f>
        <v>0.97702551278446703</v>
      </c>
      <c r="N11" s="91">
        <v>7.9826905087363789E-9</v>
      </c>
      <c r="O11" s="91">
        <f t="array" ref="O11:P11">LOGEST(H11:H12,E11:E12)</f>
        <v>0.98132817847367793</v>
      </c>
      <c r="P11" s="91">
        <v>5.1151815532580723E-9</v>
      </c>
      <c r="Q11" s="85">
        <f t="array" ref="Q11:R11">LOGEST(I11:I12,E11:E12)</f>
        <v>0.98427174476845669</v>
      </c>
      <c r="R11" s="112">
        <v>4.2848903122017038E-9</v>
      </c>
      <c r="S11" s="91"/>
    </row>
    <row r="12" spans="1:19" x14ac:dyDescent="0.25">
      <c r="A12" s="88" t="s">
        <v>169</v>
      </c>
      <c r="B12" s="85">
        <v>398600.44179999997</v>
      </c>
      <c r="C12" s="90" t="s">
        <v>163</v>
      </c>
      <c r="E12" s="109">
        <v>400</v>
      </c>
      <c r="F12" s="85">
        <v>58.2</v>
      </c>
      <c r="G12" s="91">
        <f>0.000000000000732*$B$34</f>
        <v>7.3200000000000001E-13</v>
      </c>
      <c r="H12" s="91">
        <f>0.00000000000272*$B$34</f>
        <v>2.7200000000000001E-12</v>
      </c>
      <c r="I12" s="91">
        <f>0.00000000000755*$B$34</f>
        <v>7.5500000000000007E-12</v>
      </c>
      <c r="J12" s="91"/>
      <c r="K12" s="85">
        <f t="array" ref="K12:L12">LOGEST(F12:F13,E12:E13)</f>
        <v>1.0010384285580636</v>
      </c>
      <c r="L12" s="110">
        <v>38.425813069096527</v>
      </c>
      <c r="M12" s="111">
        <f t="array" ref="M12:N12">LOGEST(G12:G13,E12:E13)</f>
        <v>0.97850650567608033</v>
      </c>
      <c r="N12" s="91">
        <v>4.3553604537007836E-9</v>
      </c>
      <c r="O12" s="91">
        <f t="array" ref="O12:P12">LOGEST(H12:H13,E12:E13)</f>
        <v>0.98258513759556954</v>
      </c>
      <c r="P12" s="91">
        <v>3.0654383649850907E-9</v>
      </c>
      <c r="Q12" s="85">
        <f t="array" ref="Q12:R12">LOGEST(I12:I13,E12:E13)</f>
        <v>0.98535155208239156</v>
      </c>
      <c r="R12" s="112">
        <v>2.7635348737019309E-9</v>
      </c>
      <c r="S12" s="91"/>
    </row>
    <row r="13" spans="1:19" x14ac:dyDescent="0.25">
      <c r="A13" s="88" t="s">
        <v>170</v>
      </c>
      <c r="B13" s="117">
        <f>23+56/60+4/3600</f>
        <v>23.934444444444445</v>
      </c>
      <c r="C13" s="90" t="s">
        <v>171</v>
      </c>
      <c r="E13" s="109">
        <v>450</v>
      </c>
      <c r="F13" s="85">
        <v>61.3</v>
      </c>
      <c r="G13" s="91">
        <f>0.000000000000247*$B$34</f>
        <v>2.4700000000000001E-13</v>
      </c>
      <c r="H13" s="91">
        <f>0.00000000000113*$B$34</f>
        <v>1.13E-12</v>
      </c>
      <c r="I13" s="91">
        <f>0.00000000000361*$B$34</f>
        <v>3.6100000000000002E-12</v>
      </c>
      <c r="J13" s="91"/>
      <c r="K13" s="85">
        <f t="array" ref="K13:L13">LOGEST(F13:F14,E13:E14)</f>
        <v>1.0010182256573112</v>
      </c>
      <c r="L13" s="110">
        <v>38.776384530432807</v>
      </c>
      <c r="M13" s="111">
        <f t="array" ref="M13:N13">LOGEST(G13:G14,E13:E14)</f>
        <v>0.97996730783460739</v>
      </c>
      <c r="N13" s="91">
        <v>2.2257813678725773E-9</v>
      </c>
      <c r="O13" s="91">
        <f t="array" ref="O13:P13">LOGEST(H13:H14,E13:E14)</f>
        <v>0.98338732952300345</v>
      </c>
      <c r="P13" s="91">
        <v>2.1232674535004475E-9</v>
      </c>
      <c r="Q13" s="85">
        <f t="array" ref="Q13:R13">LOGEST(I13:I14,E13:E14)</f>
        <v>0.98617799126284589</v>
      </c>
      <c r="R13" s="112">
        <v>1.8950447638629697E-9</v>
      </c>
      <c r="S13" s="91"/>
    </row>
    <row r="14" spans="1:19" ht="15" thickBot="1" x14ac:dyDescent="0.3">
      <c r="A14" s="99" t="s">
        <v>172</v>
      </c>
      <c r="B14" s="118">
        <v>24</v>
      </c>
      <c r="C14" s="101" t="s">
        <v>171</v>
      </c>
      <c r="E14" s="109">
        <v>500</v>
      </c>
      <c r="F14" s="85">
        <v>64.5</v>
      </c>
      <c r="G14" s="91">
        <f>0.0000000000000898*$B$34</f>
        <v>8.9800000000000006E-14</v>
      </c>
      <c r="H14" s="91">
        <f>0.000000000000489*$B$34</f>
        <v>4.8900000000000004E-13</v>
      </c>
      <c r="I14" s="91">
        <f>0.0000000000018*$B$34</f>
        <v>1.8E-12</v>
      </c>
      <c r="J14" s="91"/>
      <c r="K14" s="85">
        <f t="array" ref="K14:L14">LOGEST(F14:F15,E14:E15)</f>
        <v>1.0012624757609592</v>
      </c>
      <c r="L14" s="110">
        <v>34.323335891636866</v>
      </c>
      <c r="M14" s="111">
        <f t="array" ref="M14:N14">LOGEST(G14:G15,E14:E15)</f>
        <v>0.98204775184085935</v>
      </c>
      <c r="N14" s="91">
        <v>7.7085634766226934E-10</v>
      </c>
      <c r="O14" s="91">
        <f t="array" ref="O14:P14">LOGEST(H14:H15,E14:E15)</f>
        <v>0.98424148961990421</v>
      </c>
      <c r="P14" s="91">
        <v>1.3755447178182631E-9</v>
      </c>
      <c r="Q14" s="85">
        <f t="array" ref="Q14:R14">LOGEST(I14:I15,E14:E15)</f>
        <v>0.98677328788241292</v>
      </c>
      <c r="R14" s="112">
        <v>1.4014584573745438E-9</v>
      </c>
      <c r="S14" s="91"/>
    </row>
    <row r="15" spans="1:19" ht="15" thickBot="1" x14ac:dyDescent="0.3">
      <c r="E15" s="109">
        <v>550</v>
      </c>
      <c r="F15" s="85">
        <v>68.7</v>
      </c>
      <c r="G15" s="91">
        <f>0.0000000000000363*$B$34</f>
        <v>3.6300000000000001E-14</v>
      </c>
      <c r="H15" s="91">
        <f>0.000000000000221*$B$34</f>
        <v>2.2099999999999999E-13</v>
      </c>
      <c r="I15" s="91">
        <f>0.000000000000925*$B$34</f>
        <v>9.25E-13</v>
      </c>
      <c r="J15" s="91"/>
      <c r="K15" s="85">
        <f t="array" ref="K15:L15">LOGEST(F15:F16,E15:E16)</f>
        <v>1.0017028218724708</v>
      </c>
      <c r="L15" s="110">
        <v>26.950279165713035</v>
      </c>
      <c r="M15" s="111">
        <f t="array" ref="M15:N15">LOGEST(G15:G16,E15:E16)</f>
        <v>0.98470933069819921</v>
      </c>
      <c r="N15" s="91">
        <v>1.7397121696089749E-10</v>
      </c>
      <c r="O15" s="91">
        <f t="array" ref="O15:P15">LOGEST(H15:H16,E15:E16)</f>
        <v>0.98503762945483397</v>
      </c>
      <c r="P15" s="91">
        <v>8.8174001825821176E-10</v>
      </c>
      <c r="Q15" s="85">
        <f t="array" ref="Q15:R15">LOGEST(I15:I16,E15:E16)</f>
        <v>0.98733229452271587</v>
      </c>
      <c r="R15" s="112">
        <v>1.0263685655874676E-9</v>
      </c>
      <c r="S15" s="91"/>
    </row>
    <row r="16" spans="1:19" x14ac:dyDescent="0.25">
      <c r="A16" s="82" t="s">
        <v>173</v>
      </c>
      <c r="B16" s="116">
        <v>149600000</v>
      </c>
      <c r="C16" s="84" t="s">
        <v>165</v>
      </c>
      <c r="E16" s="109">
        <v>600</v>
      </c>
      <c r="F16" s="85">
        <v>74.8</v>
      </c>
      <c r="G16" s="91">
        <f>0.0000000000000168*$B$34</f>
        <v>1.6799999999999998E-14</v>
      </c>
      <c r="H16" s="91">
        <f>0.000000000000104*$B$34</f>
        <v>1.04E-13</v>
      </c>
      <c r="I16" s="91">
        <f>0.000000000000489*$B$34</f>
        <v>4.8900000000000004E-13</v>
      </c>
      <c r="J16" s="91"/>
      <c r="K16" s="85">
        <f t="array" ref="K16:L16">LOGEST(F16:F17,E16:E17)</f>
        <v>1.0024179087704428</v>
      </c>
      <c r="L16" s="110">
        <v>17.563514060429057</v>
      </c>
      <c r="M16" s="111">
        <f t="array" ref="M16:N16">LOGEST(G16:G17,E16:E17)</f>
        <v>0.98789943779896028</v>
      </c>
      <c r="N16" s="91">
        <v>2.4984249810371628E-11</v>
      </c>
      <c r="O16" s="91">
        <f t="array" ref="O16:P16">LOGEST(H16:H17,E16:E17)</f>
        <v>0.98604214505505416</v>
      </c>
      <c r="P16" s="91">
        <v>4.783509737758123E-10</v>
      </c>
      <c r="Q16" s="85">
        <f t="array" ref="Q16:R16">LOGEST(I16:I17,E16:E17)</f>
        <v>0.98774741403839106</v>
      </c>
      <c r="R16" s="112">
        <v>7.975685973417382E-10</v>
      </c>
      <c r="S16" s="91"/>
    </row>
    <row r="17" spans="1:23" x14ac:dyDescent="0.25">
      <c r="A17" s="88" t="s">
        <v>174</v>
      </c>
      <c r="B17" s="85">
        <v>365.25400000000002</v>
      </c>
      <c r="C17" s="90" t="s">
        <v>167</v>
      </c>
      <c r="E17" s="109">
        <v>650</v>
      </c>
      <c r="F17" s="85">
        <v>84.4</v>
      </c>
      <c r="G17" s="91">
        <f>0.00000000000000914*$B$34</f>
        <v>9.1399999999999994E-15</v>
      </c>
      <c r="H17" s="91">
        <f>0.0000000000000515*$B$34</f>
        <v>5.1500000000000001E-14</v>
      </c>
      <c r="I17" s="91">
        <f>0.000000000000264*$B$34</f>
        <v>2.6399999999999999E-13</v>
      </c>
      <c r="J17" s="91"/>
      <c r="K17" s="85">
        <f t="array" ref="K17:L17">LOGEST(F17:F18,E17:E18)</f>
        <v>1.0032568554554959</v>
      </c>
      <c r="L17" s="110">
        <v>10.196568057906818</v>
      </c>
      <c r="M17" s="111">
        <f t="array" ref="M17:N17">LOGEST(G17:G18,E17:E18)</f>
        <v>0.99073912500205386</v>
      </c>
      <c r="N17" s="91">
        <v>3.8671599834519859E-12</v>
      </c>
      <c r="O17" s="91">
        <f t="array" ref="O17:P17">LOGEST(H17:H18,E17:E18)</f>
        <v>0.98731385949615302</v>
      </c>
      <c r="P17" s="91">
        <v>2.0696907282656924E-10</v>
      </c>
      <c r="Q17" s="85">
        <f t="array" ref="Q17:R17">LOGEST(I17:I18,E17:E18)</f>
        <v>0.98835796872936854</v>
      </c>
      <c r="R17" s="112">
        <v>5.3373984411506108E-10</v>
      </c>
      <c r="S17" s="91"/>
    </row>
    <row r="18" spans="1:23" x14ac:dyDescent="0.25">
      <c r="A18" s="88" t="s">
        <v>175</v>
      </c>
      <c r="B18" s="85">
        <f>VLOOKUP('[14]Thermal Control - Spherical'!I13,Constants!K29:Q39,7,FALSE)</f>
        <v>1737</v>
      </c>
      <c r="C18" s="90" t="s">
        <v>165</v>
      </c>
      <c r="E18" s="109">
        <v>700</v>
      </c>
      <c r="F18" s="85">
        <v>99.3</v>
      </c>
      <c r="G18" s="91">
        <f>0.00000000000000574*$B$34</f>
        <v>5.7400000000000002E-15</v>
      </c>
      <c r="H18" s="91">
        <f>0.0000000000000272*$B$34</f>
        <v>2.72E-14</v>
      </c>
      <c r="I18" s="91">
        <f>0.000000000000147*$B$34</f>
        <v>1.47E-13</v>
      </c>
      <c r="J18" s="91"/>
      <c r="K18" s="85">
        <f t="array" ref="K18:L18">LOGEST(F18:F19,E18:E19)</f>
        <v>1.0039607225025682</v>
      </c>
      <c r="L18" s="110">
        <v>6.2408471064885678</v>
      </c>
      <c r="M18" s="111">
        <f t="array" ref="M18:N18">LOGEST(G18:G19,E18:E19)</f>
        <v>0.99275302727877701</v>
      </c>
      <c r="N18" s="91">
        <v>9.33378614960351E-13</v>
      </c>
      <c r="O18" s="91">
        <f t="array" ref="O18:P18">LOGEST(H18:H19,E18:E19)</f>
        <v>0.98881547809545578</v>
      </c>
      <c r="P18" s="91">
        <v>7.1431502647818523E-11</v>
      </c>
      <c r="Q18" s="85">
        <f t="array" ref="Q18:R18">LOGEST(I18:I19,E18:E19)</f>
        <v>0.98879932770823109</v>
      </c>
      <c r="R18" s="112">
        <v>3.9048432895712179E-10</v>
      </c>
      <c r="S18" s="91"/>
    </row>
    <row r="19" spans="1:23" x14ac:dyDescent="0.25">
      <c r="A19" s="88" t="s">
        <v>176</v>
      </c>
      <c r="B19" s="85">
        <f>VLOOKUP('[14]Thermal Control - Spherical'!I13,Constants!K29:Q39,6,FALSE)</f>
        <v>4902</v>
      </c>
      <c r="C19" s="90" t="s">
        <v>163</v>
      </c>
      <c r="E19" s="109">
        <v>750</v>
      </c>
      <c r="F19" s="85">
        <v>121</v>
      </c>
      <c r="G19" s="91">
        <f>0.00000000000000399*$B$34</f>
        <v>3.9899999999999998E-15</v>
      </c>
      <c r="H19" s="91">
        <f>0.0000000000000155*$B$34</f>
        <v>1.55E-14</v>
      </c>
      <c r="I19" s="91">
        <f>0.0000000000000837*$B$34</f>
        <v>8.3699999999999999E-14</v>
      </c>
      <c r="J19" s="91"/>
      <c r="K19" s="85">
        <f t="array" ref="K19:L19">LOGEST(F19:F20,E19:E20)</f>
        <v>1.0044396118292633</v>
      </c>
      <c r="L19" s="110">
        <v>4.3642710536346394</v>
      </c>
      <c r="M19" s="111">
        <f t="array" ref="M19:N19">LOGEST(G19:G20,E19:E20)</f>
        <v>0.99404575792898242</v>
      </c>
      <c r="N19" s="91">
        <v>3.5171481740108943E-13</v>
      </c>
      <c r="O19" s="91">
        <f t="array" ref="O19:P19">LOGEST(H19:H20,E19:E20)</f>
        <v>0.99052602759281694</v>
      </c>
      <c r="P19" s="91">
        <v>1.9539473795978207E-11</v>
      </c>
      <c r="Q19" s="85">
        <f t="array" ref="Q19:R19">LOGEST(I19:I20,E19:E20)</f>
        <v>0.98717643846556513</v>
      </c>
      <c r="R19" s="112">
        <v>1.3385651822102685E-9</v>
      </c>
      <c r="S19" s="91"/>
    </row>
    <row r="20" spans="1:23" x14ac:dyDescent="0.25">
      <c r="A20" s="88" t="s">
        <v>177</v>
      </c>
      <c r="B20" s="85">
        <v>1.08263E-3</v>
      </c>
      <c r="C20" s="90"/>
      <c r="E20" s="109">
        <v>800</v>
      </c>
      <c r="F20" s="85">
        <v>151</v>
      </c>
      <c r="G20" s="91">
        <f>0.00000000000000296*$B$34</f>
        <v>2.96E-15</v>
      </c>
      <c r="H20" s="91">
        <f>0.00000000000000963*$B$34</f>
        <v>9.6300000000000007E-15</v>
      </c>
      <c r="I20" s="91">
        <f>0.0000000000000439*$B$34</f>
        <v>4.3900000000000001E-14</v>
      </c>
      <c r="J20" s="91"/>
      <c r="K20" s="85">
        <f t="array" ref="K20:L20">LOGEST(F20:F21,E20:E21)</f>
        <v>1.0043928629789283</v>
      </c>
      <c r="L20" s="110">
        <v>4.5298363842453391</v>
      </c>
      <c r="M20" s="111">
        <f t="array" ref="M20:N20">LOGEST(G20:G21,E20:E21)</f>
        <v>0.99479332545704979</v>
      </c>
      <c r="N20" s="91">
        <v>1.9275317303929872E-13</v>
      </c>
      <c r="O20" s="91">
        <f t="array" ref="O20:P20">LOGEST(H20:H21,E20:E21)</f>
        <v>0.99207740813652334</v>
      </c>
      <c r="P20" s="91">
        <v>5.5869963858069021E-12</v>
      </c>
      <c r="Q20" s="85">
        <f t="array" ref="Q20:R20">LOGEST(I20:I21,E20:E21)</f>
        <v>0.99241457687135637</v>
      </c>
      <c r="R20" s="112">
        <v>1.9406926837156084E-11</v>
      </c>
      <c r="S20" s="91"/>
    </row>
    <row r="21" spans="1:23" x14ac:dyDescent="0.25">
      <c r="A21" s="88" t="s">
        <v>178</v>
      </c>
      <c r="B21" s="85">
        <v>-3.3800000000000002E-3</v>
      </c>
      <c r="C21" s="90"/>
      <c r="E21" s="109">
        <v>850</v>
      </c>
      <c r="F21" s="85">
        <v>188</v>
      </c>
      <c r="G21" s="91">
        <f>0.00000000000000228*$B$34</f>
        <v>2.28E-15</v>
      </c>
      <c r="H21" s="91">
        <f>0.00000000000000647*$B$34</f>
        <v>6.4699999999999998E-15</v>
      </c>
      <c r="I21" s="91">
        <f>0.00000000000003*$B$34</f>
        <v>2.9999999999999998E-14</v>
      </c>
      <c r="J21" s="91"/>
      <c r="K21" s="85">
        <f t="array" ref="K21:L21">LOGEST(F21:F22,E21:E22)</f>
        <v>1.0036886471043338</v>
      </c>
      <c r="L21" s="110">
        <v>8.2223852494748488</v>
      </c>
      <c r="M21" s="111">
        <f t="array" ref="M21:N21">LOGEST(G21:G22,E21:E22)</f>
        <v>0.99528338277796058</v>
      </c>
      <c r="N21" s="91">
        <v>1.2682201794880647E-13</v>
      </c>
      <c r="O21" s="91">
        <f t="array" ref="O21:P21">LOGEST(H21:H22,E21:E22)</f>
        <v>0.99345827763426942</v>
      </c>
      <c r="P21" s="91">
        <v>1.7128387056351139E-12</v>
      </c>
      <c r="Q21" s="85">
        <f t="array" ref="Q21:R21">LOGEST(I21:I22,E21:E22)</f>
        <v>0.99101046870177212</v>
      </c>
      <c r="R21" s="112">
        <v>6.4656968987765573E-11</v>
      </c>
      <c r="S21" s="91"/>
    </row>
    <row r="22" spans="1:23" x14ac:dyDescent="0.25">
      <c r="A22" s="88" t="s">
        <v>179</v>
      </c>
      <c r="B22" s="85">
        <v>-1.5399999999999999E-3</v>
      </c>
      <c r="C22" s="90"/>
      <c r="E22" s="109">
        <v>900</v>
      </c>
      <c r="F22" s="85">
        <v>226</v>
      </c>
      <c r="G22" s="91">
        <f>0.0000000000000018*$B$34</f>
        <v>1.8000000000000001E-15</v>
      </c>
      <c r="H22" s="91">
        <f>0.00000000000000466*$B$34</f>
        <v>4.66E-15</v>
      </c>
      <c r="I22" s="91">
        <f>0.0000000000000191*$B$34</f>
        <v>1.9099999999999999E-14</v>
      </c>
      <c r="J22" s="91"/>
      <c r="K22" s="85">
        <f t="array" ref="K22:L22">LOGEST(F22:F23,E22:E23)</f>
        <v>1.003036982975154</v>
      </c>
      <c r="L22" s="110">
        <v>14.75220269622452</v>
      </c>
      <c r="M22" s="111">
        <f t="array" ref="M22:N22">LOGEST(G22:G23,E22:E23)</f>
        <v>0.9955470727844663</v>
      </c>
      <c r="N22" s="91">
        <v>9.9920072216262486E-14</v>
      </c>
      <c r="O22" s="91">
        <f t="array" ref="O22:P22">LOGEST(H22:H23,E22:E23)</f>
        <v>0.99451731068445393</v>
      </c>
      <c r="P22" s="91">
        <v>6.5655891186421452E-13</v>
      </c>
      <c r="Q22" s="85">
        <f t="array" ref="Q22:R22">LOGEST(I22:I23,E22:E23)</f>
        <v>0.9918714896313483</v>
      </c>
      <c r="R22" s="112">
        <v>2.9591501382697513E-11</v>
      </c>
      <c r="S22" s="91"/>
    </row>
    <row r="23" spans="1:23" x14ac:dyDescent="0.25">
      <c r="A23" s="88" t="s">
        <v>180</v>
      </c>
      <c r="B23" s="85">
        <v>1.6900000000000001E-3</v>
      </c>
      <c r="C23" s="90"/>
      <c r="E23" s="109">
        <v>950</v>
      </c>
      <c r="F23" s="85">
        <v>263</v>
      </c>
      <c r="G23" s="91">
        <f>0.00000000000000144*$B$34</f>
        <v>1.4399999999999999E-15</v>
      </c>
      <c r="H23" s="91">
        <f>0.00000000000000354*$B$34</f>
        <v>3.5399999999999999E-15</v>
      </c>
      <c r="I23" s="91">
        <f>0.0000000000000127*$B$34</f>
        <v>1.27E-14</v>
      </c>
      <c r="J23" s="91"/>
      <c r="K23" s="85">
        <f t="array" ref="K23:L23">LOGEST(F23:F24,E23:E24)</f>
        <v>1.0023669051507635</v>
      </c>
      <c r="L23" s="110">
        <v>27.833797269029549</v>
      </c>
      <c r="M23" s="111">
        <f t="array" ref="M23:N23">LOGEST(G23:G24,E23:E24)</f>
        <v>0.99585582360173075</v>
      </c>
      <c r="N23" s="91">
        <v>7.442493580643573E-14</v>
      </c>
      <c r="O23" s="91">
        <f t="array" ref="O23:P23">LOGEST(H23:H24,E23:E24)</f>
        <v>0.99524961630677777</v>
      </c>
      <c r="P23" s="91">
        <v>3.2627618699970499E-13</v>
      </c>
      <c r="Q23" s="85">
        <f t="array" ref="Q23:R23">LOGEST(I23:I24,E23:E24)</f>
        <v>0.99277988881129975</v>
      </c>
      <c r="R23" s="112">
        <v>1.2401704637977268E-11</v>
      </c>
      <c r="S23" s="91"/>
    </row>
    <row r="24" spans="1:23" x14ac:dyDescent="0.25">
      <c r="A24" s="88" t="s">
        <v>181</v>
      </c>
      <c r="B24" s="85">
        <v>7.6999999999999996E-4</v>
      </c>
      <c r="C24" s="90"/>
      <c r="E24" s="109">
        <v>1000</v>
      </c>
      <c r="F24" s="85">
        <v>296</v>
      </c>
      <c r="G24" s="91">
        <f>0.00000000000000117*$B$34</f>
        <v>1.1700000000000001E-15</v>
      </c>
      <c r="H24" s="91">
        <f>0.00000000000000279*$B$34</f>
        <v>2.79E-15</v>
      </c>
      <c r="I24" s="91">
        <f>0.00000000000000884*$B$34</f>
        <v>8.8400000000000001E-15</v>
      </c>
      <c r="J24" s="91"/>
      <c r="K24" s="85">
        <f t="array" ref="K24:L24">LOGEST(F24:F25,E24:E25)</f>
        <v>1.0012844550870601</v>
      </c>
      <c r="L24" s="110">
        <v>82.000764796197444</v>
      </c>
      <c r="M24" s="111">
        <f t="array" ref="M24:N24">LOGEST(G24:G25,E24:E25)</f>
        <v>0.99633302076948493</v>
      </c>
      <c r="N24" s="91">
        <v>4.609584562287006E-14</v>
      </c>
      <c r="O24" s="91">
        <f t="array" ref="O24:P24">LOGEST(H24:H25,E24:E25)</f>
        <v>0.99632006130950868</v>
      </c>
      <c r="P24" s="91">
        <v>1.1135996896211084E-13</v>
      </c>
      <c r="Q24" s="85">
        <f t="array" ref="Q24:R24">LOGEST(I24:I25,E24:E25)</f>
        <v>0.99510152086947978</v>
      </c>
      <c r="R24" s="112">
        <v>1.1996712985778447E-12</v>
      </c>
      <c r="S24" s="91"/>
    </row>
    <row r="25" spans="1:23" x14ac:dyDescent="0.25">
      <c r="A25" s="88" t="s">
        <v>182</v>
      </c>
      <c r="B25" s="117">
        <f>23+56/60+4/3600</f>
        <v>23.934444444444445</v>
      </c>
      <c r="C25" s="90" t="s">
        <v>171</v>
      </c>
      <c r="E25" s="109">
        <v>1250</v>
      </c>
      <c r="F25" s="85">
        <v>408</v>
      </c>
      <c r="G25" s="91">
        <f>0.000000000000000467*$B$34</f>
        <v>4.67E-16</v>
      </c>
      <c r="H25" s="91">
        <f>0.00000000000000111*$B$34</f>
        <v>1.1100000000000001E-15</v>
      </c>
      <c r="I25" s="91">
        <f>0.00000000000000259*$B$34</f>
        <v>2.5899999999999999E-15</v>
      </c>
      <c r="J25" s="91"/>
      <c r="K25" s="85">
        <f t="array" ref="K25:L25">LOGEST(F25:F26,E25:E26)</f>
        <v>1.0009397996995577</v>
      </c>
      <c r="L25" s="110">
        <v>126.09924038172402</v>
      </c>
      <c r="M25" s="111">
        <f t="array" ref="M25:N25">LOGEST(G25:G26,E25:E26)</f>
        <v>0.99717100936206238</v>
      </c>
      <c r="N25" s="91">
        <v>1.6116179776371475E-14</v>
      </c>
      <c r="O25" s="91">
        <f t="array" ref="O25:P25">LOGEST(H25:H26,E25:E26)</f>
        <v>0.99697911108488935</v>
      </c>
      <c r="P25" s="91">
        <v>4.8724709243963904E-14</v>
      </c>
      <c r="Q25" s="85">
        <f t="array" ref="Q25:R25">LOGEST(I25:I26,E25:E26)</f>
        <v>0.99699330113208129</v>
      </c>
      <c r="R25" s="112">
        <v>1.1168617847923854E-13</v>
      </c>
      <c r="S25" s="91"/>
    </row>
    <row r="26" spans="1:23" ht="15" thickBot="1" x14ac:dyDescent="0.3">
      <c r="A26" s="88" t="s">
        <v>183</v>
      </c>
      <c r="B26" s="117">
        <f>24</f>
        <v>24</v>
      </c>
      <c r="C26" s="90" t="s">
        <v>171</v>
      </c>
      <c r="E26" s="119">
        <v>1500</v>
      </c>
      <c r="F26" s="120">
        <v>516</v>
      </c>
      <c r="G26" s="121">
        <f>0.00000000000000023*$B$34</f>
        <v>2.2999999999999999E-16</v>
      </c>
      <c r="H26" s="121">
        <f>0.000000000000000521*$B$34</f>
        <v>5.2099999999999999E-16</v>
      </c>
      <c r="I26" s="121">
        <f>0.00000000000000122*$B$34</f>
        <v>1.2199999999999999E-15</v>
      </c>
      <c r="J26" s="121"/>
      <c r="K26" s="120"/>
      <c r="L26" s="122"/>
      <c r="M26" s="123"/>
      <c r="N26" s="121"/>
      <c r="O26" s="121"/>
      <c r="P26" s="121"/>
      <c r="Q26" s="120"/>
      <c r="R26" s="122"/>
      <c r="S26" s="91"/>
    </row>
    <row r="27" spans="1:23" x14ac:dyDescent="0.25">
      <c r="A27" s="88" t="s">
        <v>184</v>
      </c>
      <c r="B27" s="124">
        <v>126.31820461308959</v>
      </c>
      <c r="C27" s="90" t="s">
        <v>145</v>
      </c>
      <c r="M27" s="91"/>
      <c r="N27" s="91"/>
      <c r="O27" s="91"/>
      <c r="P27" s="91"/>
    </row>
    <row r="28" spans="1:23" ht="15" thickBot="1" x14ac:dyDescent="0.3">
      <c r="A28" s="88" t="s">
        <v>185</v>
      </c>
      <c r="B28" s="125">
        <v>7960000000000000</v>
      </c>
      <c r="C28" s="90" t="s">
        <v>186</v>
      </c>
      <c r="M28" s="91"/>
      <c r="N28" s="91"/>
      <c r="O28" s="91"/>
      <c r="P28" s="91"/>
    </row>
    <row r="29" spans="1:23" ht="15" thickTop="1" x14ac:dyDescent="0.25">
      <c r="A29" s="88" t="s">
        <v>187</v>
      </c>
      <c r="B29" s="126">
        <f>VLOOKUP('[14]Thermal Control - Spherical'!I13,Constants!K29:Q39,3,FALSE)</f>
        <v>1226</v>
      </c>
      <c r="C29" s="90" t="s">
        <v>188</v>
      </c>
      <c r="E29" s="220" t="s">
        <v>189</v>
      </c>
      <c r="F29" s="220"/>
      <c r="G29" s="220"/>
      <c r="H29" s="93"/>
      <c r="I29" s="127"/>
      <c r="K29" s="128" t="s">
        <v>190</v>
      </c>
      <c r="L29" s="129" t="s">
        <v>191</v>
      </c>
      <c r="M29" s="129" t="s">
        <v>192</v>
      </c>
      <c r="N29" s="129" t="s">
        <v>193</v>
      </c>
      <c r="O29" s="129" t="s">
        <v>194</v>
      </c>
      <c r="P29" s="129" t="s">
        <v>195</v>
      </c>
      <c r="Q29" s="129" t="s">
        <v>196</v>
      </c>
      <c r="R29" s="129" t="s">
        <v>197</v>
      </c>
      <c r="S29" s="129" t="s">
        <v>198</v>
      </c>
      <c r="T29" s="129" t="s">
        <v>199</v>
      </c>
      <c r="U29" s="130" t="s">
        <v>200</v>
      </c>
    </row>
    <row r="30" spans="1:23" x14ac:dyDescent="0.25">
      <c r="A30" s="88" t="s">
        <v>201</v>
      </c>
      <c r="B30" s="126">
        <f>VLOOKUP('[14]Thermal Control - Spherical'!I13,Constants!K29:Q39,4,FALSE)</f>
        <v>5.2</v>
      </c>
      <c r="C30" s="90" t="s">
        <v>188</v>
      </c>
      <c r="E30" s="109"/>
      <c r="F30" s="108" t="s">
        <v>202</v>
      </c>
      <c r="I30" s="90" t="s">
        <v>202</v>
      </c>
      <c r="K30" s="131" t="s">
        <v>203</v>
      </c>
      <c r="L30" s="108">
        <v>0.3871</v>
      </c>
      <c r="M30" s="108"/>
      <c r="N30" s="108"/>
      <c r="O30" s="108"/>
      <c r="P30" s="108"/>
      <c r="Q30" s="108"/>
      <c r="U30" s="132"/>
      <c r="V30" s="91"/>
      <c r="W30" s="91"/>
    </row>
    <row r="31" spans="1:23" x14ac:dyDescent="0.25">
      <c r="A31" s="88" t="s">
        <v>204</v>
      </c>
      <c r="B31" s="89">
        <v>1418</v>
      </c>
      <c r="C31" s="90" t="s">
        <v>188</v>
      </c>
      <c r="E31" s="109"/>
      <c r="F31" s="108" t="s">
        <v>205</v>
      </c>
      <c r="I31" s="90" t="s">
        <v>205</v>
      </c>
      <c r="K31" s="131" t="s">
        <v>206</v>
      </c>
      <c r="L31" s="108">
        <v>0.72330000000000005</v>
      </c>
      <c r="M31" s="108"/>
      <c r="N31" s="108"/>
      <c r="O31" s="108"/>
      <c r="P31" s="108"/>
      <c r="Q31" s="108"/>
      <c r="U31" s="132"/>
      <c r="V31" s="91"/>
      <c r="W31" s="91"/>
    </row>
    <row r="32" spans="1:23" x14ac:dyDescent="0.25">
      <c r="A32" s="88" t="s">
        <v>207</v>
      </c>
      <c r="B32" s="133">
        <f>VLOOKUP('[14]Thermal Control - Spherical'!I13,Constants!K29:Q39,5,FALSE)</f>
        <v>7.2999999999999995E-2</v>
      </c>
      <c r="C32" s="90"/>
      <c r="E32" s="109" t="s">
        <v>208</v>
      </c>
      <c r="F32" s="134">
        <v>0.26700000000000002</v>
      </c>
      <c r="H32" s="85" t="s">
        <v>209</v>
      </c>
      <c r="I32" s="135">
        <v>7.4999999999999997E-2</v>
      </c>
      <c r="K32" s="131" t="s">
        <v>210</v>
      </c>
      <c r="L32" s="108">
        <v>1</v>
      </c>
      <c r="M32" s="108">
        <v>258</v>
      </c>
      <c r="N32" s="108">
        <v>216</v>
      </c>
      <c r="O32" s="108">
        <v>0.34</v>
      </c>
      <c r="P32" s="108">
        <v>398600.44179999997</v>
      </c>
      <c r="Q32" s="108">
        <v>6378.1369999999997</v>
      </c>
      <c r="U32" s="132"/>
      <c r="V32" s="91"/>
      <c r="W32" s="91"/>
    </row>
    <row r="33" spans="1:23" x14ac:dyDescent="0.25">
      <c r="A33" s="88" t="s">
        <v>211</v>
      </c>
      <c r="B33" s="89">
        <v>1367</v>
      </c>
      <c r="C33" s="90" t="s">
        <v>188</v>
      </c>
      <c r="E33" s="109" t="s">
        <v>212</v>
      </c>
      <c r="F33" s="134">
        <v>0.217</v>
      </c>
      <c r="H33" s="85" t="s">
        <v>213</v>
      </c>
      <c r="I33" s="135">
        <v>0.08</v>
      </c>
      <c r="K33" s="131" t="s">
        <v>214</v>
      </c>
      <c r="L33" s="108">
        <v>1</v>
      </c>
      <c r="M33" s="108">
        <v>1226</v>
      </c>
      <c r="N33" s="108">
        <v>5.2</v>
      </c>
      <c r="O33" s="108">
        <v>7.2999999999999995E-2</v>
      </c>
      <c r="P33" s="108">
        <v>4902</v>
      </c>
      <c r="Q33" s="108">
        <v>1737</v>
      </c>
      <c r="U33" s="132"/>
      <c r="V33" s="91"/>
      <c r="W33" s="91"/>
    </row>
    <row r="34" spans="1:23" ht="15" thickBot="1" x14ac:dyDescent="0.3">
      <c r="A34" s="99" t="s">
        <v>215</v>
      </c>
      <c r="B34" s="136">
        <v>1</v>
      </c>
      <c r="C34" s="101"/>
      <c r="E34" s="109" t="s">
        <v>216</v>
      </c>
      <c r="F34" s="134">
        <v>3.4000000000000002E-2</v>
      </c>
      <c r="H34" s="85" t="s">
        <v>217</v>
      </c>
      <c r="I34" s="135">
        <v>3.6999999999999998E-2</v>
      </c>
      <c r="K34" s="131" t="s">
        <v>218</v>
      </c>
      <c r="L34" s="108">
        <v>1.524</v>
      </c>
      <c r="M34" s="108">
        <v>390</v>
      </c>
      <c r="N34" s="108">
        <v>30</v>
      </c>
      <c r="O34" s="108">
        <v>0.28999999999999998</v>
      </c>
      <c r="P34" s="108">
        <v>42828</v>
      </c>
      <c r="Q34" s="108">
        <v>3390</v>
      </c>
      <c r="U34" s="137"/>
    </row>
    <row r="35" spans="1:23" ht="15" thickBot="1" x14ac:dyDescent="0.3">
      <c r="E35" s="119" t="s">
        <v>93</v>
      </c>
      <c r="F35" s="138">
        <v>0.27900000000000003</v>
      </c>
      <c r="G35" s="120"/>
      <c r="H35" s="120"/>
      <c r="I35" s="122"/>
      <c r="K35" s="131" t="s">
        <v>219</v>
      </c>
      <c r="L35" s="108">
        <v>5.2</v>
      </c>
      <c r="M35" s="108"/>
      <c r="N35" s="108"/>
      <c r="O35" s="108"/>
      <c r="P35" s="108"/>
      <c r="Q35" s="108"/>
      <c r="U35" s="137"/>
    </row>
    <row r="36" spans="1:23" ht="15" thickBot="1" x14ac:dyDescent="0.3">
      <c r="K36" s="131" t="s">
        <v>220</v>
      </c>
      <c r="L36" s="108">
        <v>9.5399999999999991</v>
      </c>
      <c r="M36" s="108"/>
      <c r="N36" s="108"/>
      <c r="O36" s="108"/>
      <c r="P36" s="108"/>
      <c r="Q36" s="108"/>
      <c r="U36" s="137"/>
    </row>
    <row r="37" spans="1:23" ht="15" thickBot="1" x14ac:dyDescent="0.3">
      <c r="A37" s="113" t="s">
        <v>221</v>
      </c>
      <c r="B37" s="114">
        <v>290</v>
      </c>
      <c r="C37" s="115" t="s">
        <v>222</v>
      </c>
      <c r="K37" s="131" t="s">
        <v>223</v>
      </c>
      <c r="L37" s="108">
        <v>19.18</v>
      </c>
      <c r="M37" s="108"/>
      <c r="N37" s="108"/>
      <c r="O37" s="108"/>
      <c r="P37" s="108"/>
      <c r="Q37" s="108"/>
      <c r="U37" s="137"/>
    </row>
    <row r="38" spans="1:23" ht="15" thickBot="1" x14ac:dyDescent="0.3">
      <c r="E38" s="220" t="s">
        <v>224</v>
      </c>
      <c r="F38" s="220"/>
      <c r="G38" s="127"/>
      <c r="K38" s="131" t="s">
        <v>225</v>
      </c>
      <c r="L38" s="108">
        <v>30.06</v>
      </c>
      <c r="M38" s="108"/>
      <c r="N38" s="108"/>
      <c r="O38" s="108"/>
      <c r="P38" s="108"/>
      <c r="Q38" s="108"/>
      <c r="U38" s="137"/>
    </row>
    <row r="39" spans="1:23" ht="15" thickBot="1" x14ac:dyDescent="0.3">
      <c r="A39" s="113" t="s">
        <v>226</v>
      </c>
      <c r="B39" s="114">
        <f>0.3048/12</f>
        <v>2.5400000000000002E-2</v>
      </c>
      <c r="C39" s="115" t="s">
        <v>4</v>
      </c>
      <c r="E39" s="109"/>
      <c r="F39" s="139" t="s">
        <v>227</v>
      </c>
      <c r="G39" s="107"/>
      <c r="K39" s="140" t="s">
        <v>228</v>
      </c>
      <c r="L39" s="141">
        <v>39.44</v>
      </c>
      <c r="M39" s="141"/>
      <c r="N39" s="141"/>
      <c r="O39" s="141"/>
      <c r="P39" s="141"/>
      <c r="Q39" s="141"/>
      <c r="R39" s="142"/>
      <c r="S39" s="142"/>
      <c r="T39" s="142"/>
      <c r="U39" s="143"/>
    </row>
    <row r="40" spans="1:23" x14ac:dyDescent="0.25">
      <c r="E40" s="109"/>
      <c r="F40" s="108" t="s">
        <v>159</v>
      </c>
      <c r="G40" s="90" t="s">
        <v>161</v>
      </c>
    </row>
    <row r="41" spans="1:23" x14ac:dyDescent="0.25">
      <c r="E41" s="109" t="s">
        <v>208</v>
      </c>
      <c r="F41" s="134">
        <v>0.2</v>
      </c>
      <c r="G41" s="135">
        <v>0.8</v>
      </c>
    </row>
    <row r="42" spans="1:23" x14ac:dyDescent="0.25">
      <c r="E42" s="109" t="s">
        <v>217</v>
      </c>
      <c r="F42" s="134">
        <v>0.01</v>
      </c>
      <c r="G42" s="135">
        <v>0.05</v>
      </c>
    </row>
    <row r="43" spans="1:23" x14ac:dyDescent="0.25">
      <c r="E43" s="109" t="s">
        <v>229</v>
      </c>
      <c r="F43" s="134">
        <v>0.05</v>
      </c>
      <c r="G43" s="135">
        <v>0.15</v>
      </c>
      <c r="M43" s="91"/>
      <c r="N43" s="91"/>
      <c r="O43" s="91"/>
      <c r="P43" s="91"/>
    </row>
    <row r="44" spans="1:23" x14ac:dyDescent="0.25">
      <c r="E44" s="109" t="s">
        <v>230</v>
      </c>
      <c r="F44" s="134">
        <v>0.04</v>
      </c>
      <c r="G44" s="135">
        <v>0.15</v>
      </c>
      <c r="M44" s="91"/>
      <c r="N44" s="91"/>
      <c r="O44" s="91"/>
      <c r="P44" s="91"/>
    </row>
    <row r="45" spans="1:23" x14ac:dyDescent="0.25">
      <c r="E45" s="109" t="s">
        <v>231</v>
      </c>
      <c r="F45" s="134">
        <v>0.04</v>
      </c>
      <c r="G45" s="135">
        <v>0.1</v>
      </c>
      <c r="M45" s="91"/>
      <c r="N45" s="91"/>
      <c r="O45" s="91"/>
      <c r="P45" s="91"/>
    </row>
    <row r="46" spans="1:23" x14ac:dyDescent="0.25">
      <c r="E46" s="109" t="s">
        <v>216</v>
      </c>
      <c r="F46" s="134">
        <v>0.01</v>
      </c>
      <c r="G46" s="135">
        <v>0.05</v>
      </c>
      <c r="M46" s="91"/>
      <c r="N46" s="91"/>
      <c r="O46" s="91"/>
      <c r="P46" s="91"/>
    </row>
    <row r="47" spans="1:23" x14ac:dyDescent="0.25">
      <c r="E47" s="109" t="s">
        <v>93</v>
      </c>
      <c r="F47" s="134">
        <v>0.05</v>
      </c>
      <c r="G47" s="135">
        <v>0.3</v>
      </c>
      <c r="M47" s="91"/>
      <c r="N47" s="91"/>
      <c r="O47" s="91"/>
      <c r="P47" s="91"/>
    </row>
    <row r="48" spans="1:23" ht="15" thickBot="1" x14ac:dyDescent="0.3">
      <c r="E48" s="119" t="s">
        <v>212</v>
      </c>
      <c r="F48" s="138">
        <v>0</v>
      </c>
      <c r="G48" s="144">
        <v>0</v>
      </c>
      <c r="M48" s="91"/>
      <c r="N48" s="91"/>
      <c r="O48" s="91"/>
      <c r="P48" s="91"/>
    </row>
    <row r="49" spans="5:44" x14ac:dyDescent="0.25">
      <c r="M49" s="91"/>
      <c r="N49" s="91"/>
      <c r="O49" s="91"/>
      <c r="P49" s="91"/>
    </row>
    <row r="50" spans="5:44" ht="15" thickBot="1" x14ac:dyDescent="0.3">
      <c r="M50" s="91"/>
      <c r="N50" s="91"/>
      <c r="O50" s="91"/>
      <c r="P50" s="91"/>
    </row>
    <row r="51" spans="5:44" x14ac:dyDescent="0.25">
      <c r="E51" s="221" t="s">
        <v>232</v>
      </c>
      <c r="F51" s="222"/>
      <c r="G51" s="93"/>
      <c r="H51" s="93"/>
      <c r="I51" s="93"/>
      <c r="J51" s="93"/>
      <c r="K51" s="93"/>
      <c r="L51" s="93"/>
      <c r="M51" s="145"/>
      <c r="N51" s="91"/>
      <c r="O51" s="91"/>
      <c r="P51" s="91"/>
    </row>
    <row r="52" spans="5:44" x14ac:dyDescent="0.25">
      <c r="E52" s="109"/>
      <c r="K52" s="108" t="s">
        <v>233</v>
      </c>
      <c r="M52" s="112"/>
      <c r="N52" s="91"/>
      <c r="O52" s="91"/>
      <c r="P52" s="91"/>
    </row>
    <row r="53" spans="5:44" x14ac:dyDescent="0.25">
      <c r="E53" s="109"/>
      <c r="F53" s="108" t="s">
        <v>234</v>
      </c>
      <c r="G53" s="108" t="s">
        <v>235</v>
      </c>
      <c r="H53" s="108" t="s">
        <v>236</v>
      </c>
      <c r="I53" s="108" t="s">
        <v>237</v>
      </c>
      <c r="K53" s="108" t="s">
        <v>238</v>
      </c>
      <c r="L53" s="108" t="s">
        <v>239</v>
      </c>
      <c r="M53" s="90" t="s">
        <v>240</v>
      </c>
      <c r="N53" s="91"/>
      <c r="O53" s="91"/>
      <c r="P53" s="91"/>
    </row>
    <row r="54" spans="5:44" x14ac:dyDescent="0.25">
      <c r="E54" s="109"/>
      <c r="M54" s="112"/>
      <c r="N54" s="91"/>
      <c r="O54" s="91"/>
      <c r="P54" s="91"/>
    </row>
    <row r="55" spans="5:44" x14ac:dyDescent="0.25">
      <c r="E55" s="109" t="s">
        <v>241</v>
      </c>
      <c r="F55" s="126">
        <v>2</v>
      </c>
      <c r="G55" s="126">
        <v>3.5</v>
      </c>
      <c r="H55" s="126">
        <v>2</v>
      </c>
      <c r="I55" s="126">
        <v>10</v>
      </c>
      <c r="K55" s="146">
        <v>0.5</v>
      </c>
      <c r="L55" s="126">
        <f>F55+(G55-F55)*K55</f>
        <v>2.75</v>
      </c>
      <c r="M55" s="147">
        <f>H55+(I55-H55)*K55</f>
        <v>6</v>
      </c>
      <c r="N55" s="91"/>
      <c r="O55" s="91"/>
      <c r="P55" s="91"/>
    </row>
    <row r="56" spans="5:44" x14ac:dyDescent="0.25">
      <c r="E56" s="109" t="s">
        <v>242</v>
      </c>
      <c r="F56" s="126">
        <v>0.2</v>
      </c>
      <c r="G56" s="126">
        <v>1</v>
      </c>
      <c r="H56" s="126">
        <v>0</v>
      </c>
      <c r="I56" s="126">
        <v>0.2</v>
      </c>
      <c r="K56" s="146">
        <v>0.5</v>
      </c>
      <c r="L56" s="126">
        <f>F56+(G56-F56)*K56</f>
        <v>0.60000000000000009</v>
      </c>
      <c r="M56" s="147">
        <f>H56+(I56-H56)*K56</f>
        <v>0.1</v>
      </c>
      <c r="N56" s="91"/>
      <c r="O56" s="91"/>
      <c r="P56" s="91"/>
    </row>
    <row r="57" spans="5:44" x14ac:dyDescent="0.25">
      <c r="E57" s="109" t="s">
        <v>243</v>
      </c>
      <c r="F57" s="126">
        <v>5</v>
      </c>
      <c r="G57" s="126">
        <v>50</v>
      </c>
      <c r="H57" s="126">
        <v>2</v>
      </c>
      <c r="I57" s="126">
        <v>20</v>
      </c>
      <c r="K57" s="146">
        <v>0.5</v>
      </c>
      <c r="L57" s="126">
        <f>F57+(G57-F57)*K57</f>
        <v>27.5</v>
      </c>
      <c r="M57" s="147">
        <f>H57+(I57-H57)*K57</f>
        <v>11</v>
      </c>
      <c r="N57" s="91"/>
      <c r="O57" s="91"/>
      <c r="P57" s="91"/>
    </row>
    <row r="58" spans="5:44" x14ac:dyDescent="0.25">
      <c r="E58" s="109" t="s">
        <v>244</v>
      </c>
      <c r="F58" s="126">
        <v>0.2</v>
      </c>
      <c r="G58" s="126">
        <v>1.5</v>
      </c>
      <c r="H58" s="126">
        <v>0.2</v>
      </c>
      <c r="I58" s="126">
        <v>1</v>
      </c>
      <c r="K58" s="146">
        <v>0.5</v>
      </c>
      <c r="L58" s="126">
        <f>F58+(G58-F58)*K58</f>
        <v>0.85000000000000009</v>
      </c>
      <c r="M58" s="147">
        <f>H58+(I58-H58)*K58</f>
        <v>0.60000000000000009</v>
      </c>
      <c r="N58" s="91"/>
      <c r="O58" s="91"/>
      <c r="P58" s="91"/>
    </row>
    <row r="59" spans="5:44" ht="15" thickBot="1" x14ac:dyDescent="0.3">
      <c r="E59" s="119" t="s">
        <v>245</v>
      </c>
      <c r="F59" s="148">
        <v>0.8</v>
      </c>
      <c r="G59" s="148">
        <v>3.5</v>
      </c>
      <c r="H59" s="148">
        <v>5</v>
      </c>
      <c r="I59" s="148">
        <v>20</v>
      </c>
      <c r="J59" s="120"/>
      <c r="K59" s="136">
        <v>0.5</v>
      </c>
      <c r="L59" s="148">
        <f>F59+(G59-F59)*K59</f>
        <v>2.1500000000000004</v>
      </c>
      <c r="M59" s="149">
        <f>H59+(I59-H59)*K59</f>
        <v>12.5</v>
      </c>
      <c r="N59" s="91"/>
      <c r="O59" s="91"/>
      <c r="P59" s="91"/>
    </row>
    <row r="60" spans="5:44" x14ac:dyDescent="0.25">
      <c r="M60" s="91"/>
      <c r="N60" s="91"/>
      <c r="O60" s="91"/>
      <c r="P60" s="91"/>
    </row>
    <row r="61" spans="5:44" ht="15" thickBot="1" x14ac:dyDescent="0.3">
      <c r="M61" s="91"/>
      <c r="N61" s="91"/>
      <c r="O61" s="91"/>
      <c r="P61" s="91"/>
    </row>
    <row r="62" spans="5:44" x14ac:dyDescent="0.25">
      <c r="E62" s="150" t="s">
        <v>246</v>
      </c>
      <c r="F62" s="151"/>
      <c r="G62" s="151"/>
      <c r="H62" s="152"/>
      <c r="I62" s="152"/>
      <c r="J62" s="152"/>
      <c r="K62" s="152"/>
      <c r="L62" s="152"/>
      <c r="M62" s="153"/>
    </row>
    <row r="63" spans="5:44" ht="15" thickBot="1" x14ac:dyDescent="0.3">
      <c r="E63" s="109"/>
      <c r="M63" s="110"/>
    </row>
    <row r="64" spans="5:44" x14ac:dyDescent="0.25">
      <c r="E64" s="109"/>
      <c r="F64" s="108" t="s">
        <v>247</v>
      </c>
      <c r="G64" s="108" t="s">
        <v>248</v>
      </c>
      <c r="H64" s="108" t="s">
        <v>249</v>
      </c>
      <c r="I64" s="108"/>
      <c r="J64" s="108"/>
      <c r="K64" s="108" t="s">
        <v>247</v>
      </c>
      <c r="L64" s="108"/>
      <c r="M64" s="90" t="s">
        <v>249</v>
      </c>
      <c r="T64" s="154" t="s">
        <v>247</v>
      </c>
      <c r="U64" s="155" t="s">
        <v>248</v>
      </c>
      <c r="V64" s="93"/>
      <c r="W64" s="93"/>
      <c r="X64" s="155" t="s">
        <v>250</v>
      </c>
      <c r="Y64" s="155"/>
      <c r="Z64" s="155"/>
      <c r="AA64" s="155"/>
      <c r="AB64" s="155" t="s">
        <v>251</v>
      </c>
      <c r="AC64" s="155"/>
      <c r="AD64" s="155"/>
      <c r="AE64" s="155" t="s">
        <v>252</v>
      </c>
      <c r="AF64" s="93"/>
      <c r="AG64" s="155" t="s">
        <v>247</v>
      </c>
      <c r="AH64" s="155"/>
      <c r="AI64" s="155"/>
      <c r="AJ64" s="93"/>
      <c r="AK64" s="155" t="s">
        <v>250</v>
      </c>
      <c r="AL64" s="155"/>
      <c r="AM64" s="155"/>
      <c r="AN64" s="155"/>
      <c r="AO64" s="155" t="s">
        <v>251</v>
      </c>
      <c r="AP64" s="155"/>
      <c r="AQ64" s="155"/>
      <c r="AR64" s="84" t="s">
        <v>252</v>
      </c>
    </row>
    <row r="65" spans="5:44" x14ac:dyDescent="0.25">
      <c r="E65" s="109"/>
      <c r="F65" s="108" t="s">
        <v>93</v>
      </c>
      <c r="G65" s="108" t="s">
        <v>93</v>
      </c>
      <c r="H65" s="108" t="s">
        <v>253</v>
      </c>
      <c r="I65" s="108"/>
      <c r="J65" s="108"/>
      <c r="K65" s="108" t="s">
        <v>93</v>
      </c>
      <c r="L65" s="108" t="s">
        <v>91</v>
      </c>
      <c r="M65" s="90" t="s">
        <v>253</v>
      </c>
      <c r="T65" s="156" t="s">
        <v>93</v>
      </c>
      <c r="U65" s="108" t="s">
        <v>93</v>
      </c>
      <c r="AG65" s="108" t="s">
        <v>93</v>
      </c>
      <c r="AH65" s="108" t="s">
        <v>91</v>
      </c>
      <c r="AI65" s="108"/>
      <c r="AR65" s="110"/>
    </row>
    <row r="66" spans="5:44" x14ac:dyDescent="0.25">
      <c r="E66" s="109" t="s">
        <v>254</v>
      </c>
      <c r="F66" s="85">
        <v>0.2</v>
      </c>
      <c r="G66" s="85">
        <v>10</v>
      </c>
      <c r="H66" s="157">
        <f>INDEX(MMULT(AA66:AC68,AE66:AE68),1,1)</f>
        <v>1.1829442382747484</v>
      </c>
      <c r="K66" s="85">
        <v>7</v>
      </c>
      <c r="L66" s="85">
        <v>1.1000000000000001</v>
      </c>
      <c r="M66" s="158">
        <f>INDEX(MMULT(AN66:AP68,AR66:AR68),1,1)</f>
        <v>0.93286813193897444</v>
      </c>
      <c r="T66" s="109">
        <f t="shared" ref="T66:U69" si="0">LOG(F66)</f>
        <v>-0.69897000433601875</v>
      </c>
      <c r="U66" s="85">
        <f t="shared" si="0"/>
        <v>1</v>
      </c>
      <c r="W66" s="85">
        <f>4</f>
        <v>4</v>
      </c>
      <c r="X66" s="85">
        <f>W67</f>
        <v>2.204119982655925</v>
      </c>
      <c r="Y66" s="85">
        <f>X67</f>
        <v>4.2812487254895908</v>
      </c>
      <c r="AA66" s="85">
        <f>INDEX(MINVERSE(W66:Y68),1,1)</f>
        <v>0.51014699027108712</v>
      </c>
      <c r="AB66" s="85">
        <f>INDEX(MINVERSE(W66:Y68),2)</f>
        <v>0.11058393226860654</v>
      </c>
      <c r="AC66" s="85">
        <f>INDEX(MINVERSE(W66:Y68),3)</f>
        <v>-0.29998916164614614</v>
      </c>
      <c r="AE66" s="85">
        <f>U66+U67+U68+U69</f>
        <v>6.0492180226701819</v>
      </c>
      <c r="AG66" s="85">
        <f t="shared" ref="AG66:AH69" si="1">LOG(K66)</f>
        <v>0.84509804001425681</v>
      </c>
      <c r="AH66" s="85">
        <f t="shared" si="1"/>
        <v>4.1392685158225077E-2</v>
      </c>
      <c r="AJ66" s="85">
        <f>4</f>
        <v>4</v>
      </c>
      <c r="AK66" s="85">
        <f>AJ67</f>
        <v>5.8662873390841952</v>
      </c>
      <c r="AL66" s="85">
        <f>AK67</f>
        <v>9.1869637512785118</v>
      </c>
      <c r="AN66" s="85">
        <f>INDEX(MINVERSE(AJ66:AL68),1,1)</f>
        <v>72.295517299365471</v>
      </c>
      <c r="AO66" s="85">
        <f>INDEX(MINVERSE(AJ66:AL68),2)</f>
        <v>-117.33151108467169</v>
      </c>
      <c r="AP66" s="85">
        <f>INDEX(MINVERSE(AJ66:AL68),3)</f>
        <v>43.552831989620259</v>
      </c>
      <c r="AR66" s="110">
        <f>AH66+AH67+AH68+AH69</f>
        <v>0.95763601562356471</v>
      </c>
    </row>
    <row r="67" spans="5:44" x14ac:dyDescent="0.25">
      <c r="E67" s="109"/>
      <c r="F67" s="85">
        <v>2</v>
      </c>
      <c r="G67" s="85">
        <v>20</v>
      </c>
      <c r="H67" s="157">
        <f>INDEX(MMULT(AA66:AC68,AE66:AE68),2,1)</f>
        <v>0.35039787768968989</v>
      </c>
      <c r="K67" s="85">
        <v>30</v>
      </c>
      <c r="L67" s="85">
        <v>1.4</v>
      </c>
      <c r="M67" s="158">
        <f>INDEX(MMULT(AN66:AP68,AR66:AR68),2,1)</f>
        <v>-1.7328494292437142</v>
      </c>
      <c r="T67" s="109">
        <f t="shared" si="0"/>
        <v>0.3010299956639812</v>
      </c>
      <c r="U67" s="85">
        <f t="shared" si="0"/>
        <v>1.3010299956639813</v>
      </c>
      <c r="W67" s="85">
        <f>T66+T67+T68+T69</f>
        <v>2.204119982655925</v>
      </c>
      <c r="X67" s="85">
        <f>W68</f>
        <v>4.2812487254895908</v>
      </c>
      <c r="Y67" s="85">
        <f>T66^3+T67^3+T68^3+T69^3</f>
        <v>5.3264007461631149</v>
      </c>
      <c r="AA67" s="85">
        <f>INDEX(MINVERSE(W66:Y68),2,1)</f>
        <v>0.11058393226860654</v>
      </c>
      <c r="AB67" s="85">
        <f>INDEX(MINVERSE(W66:Y68),2,2)</f>
        <v>0.84895110258993822</v>
      </c>
      <c r="AC67" s="85">
        <f>INDEX(MINVERSE(W66:Y68),2,3)</f>
        <v>-0.54038575353412144</v>
      </c>
      <c r="AE67" s="85">
        <f>T66*U66+T67*U67+T68*U68+T69*U69</f>
        <v>4.7856905444280091</v>
      </c>
      <c r="AG67" s="85">
        <f t="shared" si="1"/>
        <v>1.4771212547196624</v>
      </c>
      <c r="AH67" s="85">
        <f t="shared" si="1"/>
        <v>0.14612803567823801</v>
      </c>
      <c r="AJ67" s="85">
        <f>AG66+AG67+AG68+AG69</f>
        <v>5.8662873390841952</v>
      </c>
      <c r="AK67" s="85">
        <f>AJ68</f>
        <v>9.1869637512785118</v>
      </c>
      <c r="AL67" s="85">
        <f>AG66^3+AG67^3+AG68^3+AG69^3</f>
        <v>15.011975835868084</v>
      </c>
      <c r="AN67" s="85">
        <f>INDEX(MINVERSE(AJ66:AL68),2,1)</f>
        <v>-117.33151108467169</v>
      </c>
      <c r="AO67" s="85">
        <f>INDEX(MINVERSE(AJ66:AL68),2,2)</f>
        <v>194.56416200674056</v>
      </c>
      <c r="AP67" s="85">
        <f>INDEX(MINVERSE(AJ66:AL68),2,3)</f>
        <v>-73.151832757308554</v>
      </c>
      <c r="AR67" s="110">
        <f>AG66*AH66+AG67*AH67+AG68*AH68+AG69*AH69</f>
        <v>1.6310342093601122</v>
      </c>
    </row>
    <row r="68" spans="5:44" x14ac:dyDescent="0.25">
      <c r="E68" s="109"/>
      <c r="F68" s="85">
        <v>8</v>
      </c>
      <c r="G68" s="85">
        <v>40</v>
      </c>
      <c r="H68" s="157">
        <f>INDEX(MMULT(AA66:AC68,AE66:AE68),3,1)</f>
        <v>0.12732782896484807</v>
      </c>
      <c r="K68" s="85">
        <v>50</v>
      </c>
      <c r="L68" s="85">
        <v>1.9</v>
      </c>
      <c r="M68" s="158">
        <f>INDEX(MMULT(AN66:AP68,AR66:AR68),3,1)</f>
        <v>0.80457007944009717</v>
      </c>
      <c r="T68" s="109">
        <f t="shared" si="0"/>
        <v>0.90308998699194354</v>
      </c>
      <c r="U68" s="85">
        <f t="shared" si="0"/>
        <v>1.6020599913279623</v>
      </c>
      <c r="W68" s="85">
        <f>T66^2+T67^2+T68^2+T69^2</f>
        <v>4.2812487254895908</v>
      </c>
      <c r="X68" s="85">
        <f>Y67</f>
        <v>5.3264007461631149</v>
      </c>
      <c r="Y68" s="85">
        <f>T66^4+T67^4+T68^4+T69^4</f>
        <v>9.2439356010154867</v>
      </c>
      <c r="AA68" s="85">
        <f>INDEX(MINVERSE(W66:Y68),3,1)</f>
        <v>-0.29998916164614614</v>
      </c>
      <c r="AB68" s="85">
        <f>INDEX(MINVERSE(W66:Y68),3,2)</f>
        <v>-0.54038575353412133</v>
      </c>
      <c r="AC68" s="85">
        <f>INDEX(MINVERSE(W66:Y68),3,3)</f>
        <v>0.55848931879525177</v>
      </c>
      <c r="AE68" s="85">
        <f>U66*T66^2+U67*T67^2+U68*T68^2+U69*T69^2</f>
        <v>8.1078482807875343</v>
      </c>
      <c r="AG68" s="85">
        <f t="shared" si="1"/>
        <v>1.6989700043360187</v>
      </c>
      <c r="AH68" s="85">
        <f t="shared" si="1"/>
        <v>0.27875360095282892</v>
      </c>
      <c r="AJ68" s="85">
        <f>AG66^2+AG67^2+AG68^2+AG69^2</f>
        <v>9.1869637512785118</v>
      </c>
      <c r="AK68" s="85">
        <f>AL67</f>
        <v>15.011975835868084</v>
      </c>
      <c r="AL68" s="85">
        <f>AG66^4+AG67^4+AG68^4+AG69^4</f>
        <v>25.192426353383205</v>
      </c>
      <c r="AN68" s="85">
        <f>INDEX(MINVERSE(AJ66:AL68),3,1)</f>
        <v>43.552831989620259</v>
      </c>
      <c r="AO68" s="85">
        <f>INDEX(MINVERSE(AJ66:AL68),3,2)</f>
        <v>-73.151832757308654</v>
      </c>
      <c r="AP68" s="85">
        <f>INDEX(MINVERSE(AJ66:AL68),3,3)</f>
        <v>27.747833699795244</v>
      </c>
      <c r="AR68" s="110">
        <f>AH66*AG66^2+AH67*AG67^2+AH68*AG68^2+AH69*AG69^2</f>
        <v>2.8258044262718891</v>
      </c>
    </row>
    <row r="69" spans="5:44" x14ac:dyDescent="0.25">
      <c r="E69" s="109"/>
      <c r="F69" s="85">
        <v>50</v>
      </c>
      <c r="G69" s="85">
        <v>140</v>
      </c>
      <c r="H69" s="157"/>
      <c r="K69" s="85">
        <v>70</v>
      </c>
      <c r="L69" s="85">
        <v>3.1</v>
      </c>
      <c r="M69" s="158"/>
      <c r="T69" s="109">
        <f t="shared" si="0"/>
        <v>1.6989700043360187</v>
      </c>
      <c r="U69" s="85">
        <f t="shared" si="0"/>
        <v>2.1461280356782382</v>
      </c>
      <c r="AG69" s="85">
        <f t="shared" si="1"/>
        <v>1.8450980400142569</v>
      </c>
      <c r="AH69" s="85">
        <f t="shared" si="1"/>
        <v>0.49136169383427269</v>
      </c>
      <c r="AR69" s="110"/>
    </row>
    <row r="70" spans="5:44" x14ac:dyDescent="0.25">
      <c r="E70" s="109"/>
      <c r="H70" s="157"/>
      <c r="M70" s="158"/>
      <c r="T70" s="109"/>
      <c r="AR70" s="110"/>
    </row>
    <row r="71" spans="5:44" x14ac:dyDescent="0.25">
      <c r="E71" s="109" t="s">
        <v>255</v>
      </c>
      <c r="F71" s="85">
        <v>1</v>
      </c>
      <c r="G71" s="85">
        <v>10</v>
      </c>
      <c r="H71" s="157">
        <f>INDEX(MMULT(AA71:AC73,AE71:AE73),1,1)</f>
        <v>1.0018770507054953</v>
      </c>
      <c r="K71" s="85">
        <v>1</v>
      </c>
      <c r="L71" s="85">
        <v>2</v>
      </c>
      <c r="M71" s="158">
        <f>INDEX(MMULT(AN71:AP73,AR71:AR73),1,1)</f>
        <v>0.30492967970573259</v>
      </c>
      <c r="O71" s="159"/>
      <c r="T71" s="109">
        <f t="shared" ref="T71:U74" si="2">LOG(F71)</f>
        <v>0</v>
      </c>
      <c r="U71" s="85">
        <f t="shared" si="2"/>
        <v>1</v>
      </c>
      <c r="W71" s="85">
        <f>4</f>
        <v>4</v>
      </c>
      <c r="X71" s="85">
        <f>W72</f>
        <v>4.0334237554869503</v>
      </c>
      <c r="Y71" s="85">
        <f>X72</f>
        <v>6.1172622037907569</v>
      </c>
      <c r="AA71" s="85">
        <f>INDEX(MINVERSE(W71:Y73),1,1)</f>
        <v>0.97478186774907949</v>
      </c>
      <c r="AB71" s="85">
        <f>INDEX(MINVERSE(W71:Y73),2)</f>
        <v>-1.5401004160574805</v>
      </c>
      <c r="AC71" s="85">
        <f>INDEX(MINVERSE(W71:Y73),3)</f>
        <v>0.54154130109257181</v>
      </c>
      <c r="AE71" s="85">
        <f>U71+U72+U73+U74</f>
        <v>6.0492180226701819</v>
      </c>
      <c r="AG71" s="85">
        <f t="shared" ref="AG71:AH74" si="3">LOG(K71)</f>
        <v>0</v>
      </c>
      <c r="AH71" s="85">
        <f t="shared" si="3"/>
        <v>0.3010299956639812</v>
      </c>
      <c r="AJ71" s="85">
        <f>4</f>
        <v>4</v>
      </c>
      <c r="AK71" s="85">
        <f>AJ72</f>
        <v>3.924279286061882</v>
      </c>
      <c r="AL71" s="85">
        <f>AK72</f>
        <v>5.7025851953554998</v>
      </c>
      <c r="AN71" s="85">
        <f>INDEX(MINVERSE(AJ71:AL73),1,1)</f>
        <v>0.9791790260008465</v>
      </c>
      <c r="AO71" s="85">
        <f>INDEX(MINVERSE(AJ71:AL73),2)</f>
        <v>-1.6042833840484394</v>
      </c>
      <c r="AP71" s="85">
        <f>INDEX(MINVERSE(AJ71:AL73),3)</f>
        <v>0.59252774544134124</v>
      </c>
      <c r="AR71" s="110">
        <f>AH71+AH72+AH73+AH74</f>
        <v>2.2253092817258628</v>
      </c>
    </row>
    <row r="72" spans="5:44" x14ac:dyDescent="0.25">
      <c r="E72" s="109"/>
      <c r="F72" s="85">
        <v>6</v>
      </c>
      <c r="G72" s="85">
        <v>20</v>
      </c>
      <c r="H72" s="157">
        <f>INDEX(MMULT(AA71:AC73,AE71:AE73),2,1)</f>
        <v>0.23566263382873132</v>
      </c>
      <c r="K72" s="85">
        <v>6</v>
      </c>
      <c r="L72" s="85">
        <v>3</v>
      </c>
      <c r="M72" s="158">
        <f>INDEX(MMULT(AN71:AP73,AR71:AR73),2,1)</f>
        <v>0.13455113460149271</v>
      </c>
      <c r="O72" s="159"/>
      <c r="T72" s="109">
        <f t="shared" si="2"/>
        <v>0.77815125038364363</v>
      </c>
      <c r="U72" s="85">
        <f t="shared" si="2"/>
        <v>1.3010299956639813</v>
      </c>
      <c r="W72" s="85">
        <f>T71+T72+T73+T74</f>
        <v>4.0334237554869503</v>
      </c>
      <c r="X72" s="85">
        <f>W73</f>
        <v>6.1172622037907569</v>
      </c>
      <c r="Y72" s="85">
        <f>T71^3+T72^3+T73^3+T74^3</f>
        <v>10.136788666568179</v>
      </c>
      <c r="AA72" s="85">
        <f>INDEX(MINVERSE(W71:Y73),2,1)</f>
        <v>-1.5401004160574805</v>
      </c>
      <c r="AB72" s="85">
        <f>INDEX(MINVERSE(W71:Y73),2,2)</f>
        <v>5.2898664517637126</v>
      </c>
      <c r="AC72" s="85">
        <f>INDEX(MINVERSE(W71:Y73),2,3)</f>
        <v>-2.4808273440139752</v>
      </c>
      <c r="AE72" s="85">
        <f>T71*U71+T72*U72+T73*U73+T74*U74</f>
        <v>7.2907808595053387</v>
      </c>
      <c r="AG72" s="85">
        <f t="shared" si="3"/>
        <v>0.77815125038364363</v>
      </c>
      <c r="AH72" s="85">
        <f t="shared" si="3"/>
        <v>0.47712125471966244</v>
      </c>
      <c r="AJ72" s="85">
        <f>AG71+AG72+AG73+AG74</f>
        <v>3.924279286061882</v>
      </c>
      <c r="AK72" s="85">
        <f>AJ73</f>
        <v>5.7025851953554998</v>
      </c>
      <c r="AL72" s="85">
        <f>AG71^3+AG72^3+AG73^3+AG74^3</f>
        <v>8.9548392404746231</v>
      </c>
      <c r="AN72" s="85">
        <f>INDEX(MINVERSE(AJ71:AL73),2,1)</f>
        <v>-1.6042833840484394</v>
      </c>
      <c r="AO72" s="85">
        <f>INDEX(MINVERSE(AJ71:AL73),2,2)</f>
        <v>6.0493649449030098</v>
      </c>
      <c r="AP72" s="85">
        <f>INDEX(MINVERSE(AJ71:AL73),2,3)</f>
        <v>-3.0376159965178968</v>
      </c>
      <c r="AR72" s="110">
        <f>AG71*AH71+AG72*AH72+AG73*AH73+AG74*AH74</f>
        <v>2.7138593461017892</v>
      </c>
    </row>
    <row r="73" spans="5:44" x14ac:dyDescent="0.25">
      <c r="E73" s="109"/>
      <c r="F73" s="85">
        <v>20</v>
      </c>
      <c r="G73" s="85">
        <v>40</v>
      </c>
      <c r="H73" s="157">
        <f>INDEX(MMULT(AA71:AC73,AE71:AE73),3,1)</f>
        <v>0.17837760062116992</v>
      </c>
      <c r="K73" s="85">
        <v>20</v>
      </c>
      <c r="L73" s="85">
        <v>4</v>
      </c>
      <c r="M73" s="158">
        <f>INDEX(MMULT(AN71:AP73,AR71:AR73),3,1)</f>
        <v>8.3746987744985013E-2</v>
      </c>
      <c r="T73" s="109">
        <f t="shared" si="2"/>
        <v>1.3010299956639813</v>
      </c>
      <c r="U73" s="85">
        <f t="shared" si="2"/>
        <v>1.6020599913279623</v>
      </c>
      <c r="W73" s="85">
        <f>T71^2+T72^2+T73^2+T74^2</f>
        <v>6.1172622037907569</v>
      </c>
      <c r="X73" s="85">
        <f>Y72</f>
        <v>10.136788666568179</v>
      </c>
      <c r="Y73" s="85">
        <f>T71^4+T72^4+T73^4+T74^4</f>
        <v>17.817064269853432</v>
      </c>
      <c r="AA73" s="85">
        <f>INDEX(MINVERSE(W71:Y73),3,1)</f>
        <v>0.54154130109257181</v>
      </c>
      <c r="AB73" s="85">
        <f>INDEX(MINVERSE(W71:Y73),3,2)</f>
        <v>-2.4808273440139748</v>
      </c>
      <c r="AC73" s="85">
        <f>INDEX(MINVERSE(W71:Y73),3,3)</f>
        <v>1.2816293428421182</v>
      </c>
      <c r="AE73" s="85">
        <f>U71*T71^2+U72*T72^2+U73*T73^2+U74*T74^2</f>
        <v>11.695772105424421</v>
      </c>
      <c r="AG73" s="85">
        <f t="shared" si="3"/>
        <v>1.3010299956639813</v>
      </c>
      <c r="AH73" s="85">
        <f t="shared" si="3"/>
        <v>0.6020599913279624</v>
      </c>
      <c r="AJ73" s="85">
        <f>AG71^2+AG72^2+AG73^2+AG74^2</f>
        <v>5.7025851953554998</v>
      </c>
      <c r="AK73" s="85">
        <f>AL72</f>
        <v>8.9548392404746231</v>
      </c>
      <c r="AL73" s="85">
        <f>AG71^4+AG72^4+AG73^4+AG74^4</f>
        <v>14.821665399823477</v>
      </c>
      <c r="AN73" s="85">
        <f>INDEX(MINVERSE(AJ71:AL73),3,1)</f>
        <v>0.59252774544134124</v>
      </c>
      <c r="AO73" s="85">
        <f>INDEX(MINVERSE(AJ71:AL73),3,2)</f>
        <v>-3.0376159965178964</v>
      </c>
      <c r="AP73" s="85">
        <f>INDEX(MINVERSE(AJ71:AL73),3,3)</f>
        <v>1.6747391271170073</v>
      </c>
      <c r="AR73" s="110">
        <f>AH71*AG71^2+AH72*AG72^2+AH73*AG73^2+AH74*AG74^2</f>
        <v>4.1850410876935236</v>
      </c>
    </row>
    <row r="74" spans="5:44" ht="15" thickBot="1" x14ac:dyDescent="0.3">
      <c r="E74" s="119"/>
      <c r="F74" s="120">
        <v>90</v>
      </c>
      <c r="G74" s="120">
        <v>140</v>
      </c>
      <c r="H74" s="160"/>
      <c r="I74" s="120"/>
      <c r="J74" s="120"/>
      <c r="K74" s="120">
        <v>70</v>
      </c>
      <c r="L74" s="120">
        <v>7</v>
      </c>
      <c r="M74" s="122"/>
      <c r="T74" s="109">
        <f t="shared" si="2"/>
        <v>1.954242509439325</v>
      </c>
      <c r="U74" s="85">
        <f t="shared" si="2"/>
        <v>2.1461280356782382</v>
      </c>
      <c r="AG74" s="85">
        <f t="shared" si="3"/>
        <v>1.8450980400142569</v>
      </c>
      <c r="AH74" s="85">
        <f t="shared" si="3"/>
        <v>0.84509804001425681</v>
      </c>
      <c r="AR74" s="110"/>
    </row>
    <row r="75" spans="5:44" ht="15" thickBot="1" x14ac:dyDescent="0.3">
      <c r="T75" s="119"/>
      <c r="U75" s="120"/>
      <c r="V75" s="120"/>
      <c r="W75" s="120"/>
      <c r="X75" s="120"/>
      <c r="Y75" s="120"/>
      <c r="Z75" s="120"/>
      <c r="AA75" s="120"/>
      <c r="AB75" s="120"/>
      <c r="AC75" s="120"/>
      <c r="AD75" s="120"/>
      <c r="AE75" s="120"/>
      <c r="AF75" s="120"/>
      <c r="AG75" s="120"/>
      <c r="AH75" s="120"/>
      <c r="AI75" s="120"/>
      <c r="AJ75" s="120"/>
      <c r="AK75" s="120"/>
      <c r="AL75" s="120"/>
      <c r="AM75" s="120"/>
      <c r="AN75" s="120"/>
      <c r="AO75" s="120"/>
      <c r="AP75" s="120"/>
      <c r="AQ75" s="120"/>
      <c r="AR75" s="122"/>
    </row>
    <row r="76" spans="5:44" ht="15" thickBot="1" x14ac:dyDescent="0.3"/>
    <row r="77" spans="5:44" x14ac:dyDescent="0.25">
      <c r="E77" s="150" t="s">
        <v>256</v>
      </c>
      <c r="F77" s="161"/>
      <c r="G77" s="161"/>
      <c r="H77" s="161"/>
      <c r="I77" s="161"/>
      <c r="J77" s="95"/>
      <c r="K77" s="96"/>
    </row>
    <row r="78" spans="5:44" x14ac:dyDescent="0.25">
      <c r="E78" s="109"/>
      <c r="K78" s="110"/>
    </row>
    <row r="79" spans="5:44" x14ac:dyDescent="0.25">
      <c r="E79" s="109" t="s">
        <v>257</v>
      </c>
      <c r="G79" s="85" t="s">
        <v>258</v>
      </c>
      <c r="H79" s="85">
        <f>-28.1815/100</f>
        <v>-0.28181499999999998</v>
      </c>
      <c r="I79" s="85" t="s">
        <v>259</v>
      </c>
      <c r="J79" s="162" t="s">
        <v>260</v>
      </c>
      <c r="K79" s="110">
        <f>168.1814/100</f>
        <v>1.6818139999999999</v>
      </c>
    </row>
    <row r="80" spans="5:44" ht="15" thickBot="1" x14ac:dyDescent="0.3">
      <c r="E80" s="119" t="s">
        <v>261</v>
      </c>
      <c r="F80" s="120"/>
      <c r="G80" s="120" t="s">
        <v>258</v>
      </c>
      <c r="H80" s="120">
        <f>-28.1815/100</f>
        <v>-0.28181499999999998</v>
      </c>
      <c r="I80" s="120" t="s">
        <v>259</v>
      </c>
      <c r="J80" s="163" t="s">
        <v>260</v>
      </c>
      <c r="K80" s="122">
        <f>(168.1814-22.1818)/100</f>
        <v>1.4599959999999998</v>
      </c>
    </row>
    <row r="82" spans="5:44" ht="15" thickBot="1" x14ac:dyDescent="0.3"/>
    <row r="83" spans="5:44" x14ac:dyDescent="0.25">
      <c r="E83" s="150" t="s">
        <v>262</v>
      </c>
      <c r="F83" s="151"/>
      <c r="G83" s="152"/>
      <c r="H83" s="152"/>
      <c r="I83" s="152"/>
      <c r="J83" s="152"/>
      <c r="K83" s="152"/>
      <c r="L83" s="153"/>
      <c r="M83" s="164"/>
    </row>
    <row r="84" spans="5:44" ht="15" thickBot="1" x14ac:dyDescent="0.3">
      <c r="E84" s="165" t="s">
        <v>263</v>
      </c>
      <c r="F84" s="139"/>
      <c r="G84" s="139"/>
      <c r="J84" s="139" t="s">
        <v>264</v>
      </c>
      <c r="K84" s="139"/>
      <c r="L84" s="107"/>
      <c r="N84" s="139" t="s">
        <v>153</v>
      </c>
    </row>
    <row r="85" spans="5:44" x14ac:dyDescent="0.25">
      <c r="E85" s="156" t="s">
        <v>265</v>
      </c>
      <c r="F85" s="108" t="s">
        <v>266</v>
      </c>
      <c r="G85" s="108" t="s">
        <v>249</v>
      </c>
      <c r="H85" s="108"/>
      <c r="I85" s="108"/>
      <c r="J85" s="108" t="s">
        <v>265</v>
      </c>
      <c r="K85" s="108" t="s">
        <v>266</v>
      </c>
      <c r="L85" s="90" t="s">
        <v>249</v>
      </c>
      <c r="T85" s="154" t="s">
        <v>265</v>
      </c>
      <c r="U85" s="155" t="s">
        <v>266</v>
      </c>
      <c r="V85" s="93"/>
      <c r="W85" s="93"/>
      <c r="X85" s="155" t="s">
        <v>250</v>
      </c>
      <c r="Y85" s="155"/>
      <c r="Z85" s="155"/>
      <c r="AA85" s="155"/>
      <c r="AB85" s="155" t="s">
        <v>251</v>
      </c>
      <c r="AC85" s="155"/>
      <c r="AD85" s="155"/>
      <c r="AE85" s="155" t="s">
        <v>252</v>
      </c>
      <c r="AF85" s="93"/>
      <c r="AG85" s="155" t="s">
        <v>265</v>
      </c>
      <c r="AH85" s="155" t="s">
        <v>266</v>
      </c>
      <c r="AI85" s="155"/>
      <c r="AJ85" s="93"/>
      <c r="AK85" s="155" t="s">
        <v>250</v>
      </c>
      <c r="AL85" s="155"/>
      <c r="AM85" s="155"/>
      <c r="AN85" s="155"/>
      <c r="AO85" s="155" t="s">
        <v>251</v>
      </c>
      <c r="AP85" s="155"/>
      <c r="AQ85" s="155"/>
      <c r="AR85" s="84" t="s">
        <v>252</v>
      </c>
    </row>
    <row r="86" spans="5:44" x14ac:dyDescent="0.25">
      <c r="E86" s="156" t="s">
        <v>267</v>
      </c>
      <c r="F86" s="108" t="s">
        <v>268</v>
      </c>
      <c r="G86" s="108" t="s">
        <v>253</v>
      </c>
      <c r="H86" s="108"/>
      <c r="I86" s="108"/>
      <c r="J86" s="108" t="s">
        <v>267</v>
      </c>
      <c r="K86" s="108" t="s">
        <v>268</v>
      </c>
      <c r="L86" s="90" t="s">
        <v>253</v>
      </c>
      <c r="T86" s="156" t="s">
        <v>267</v>
      </c>
      <c r="U86" s="108" t="s">
        <v>268</v>
      </c>
      <c r="AG86" s="108" t="s">
        <v>267</v>
      </c>
      <c r="AH86" s="108" t="s">
        <v>268</v>
      </c>
      <c r="AI86" s="108"/>
      <c r="AR86" s="110"/>
    </row>
    <row r="87" spans="5:44" x14ac:dyDescent="0.25">
      <c r="E87" s="109">
        <v>1</v>
      </c>
      <c r="F87" s="85">
        <v>4</v>
      </c>
      <c r="G87" s="157">
        <f>INDEX(MMULT(AA87:AC89,AE87:AE89),1,1)</f>
        <v>0.6017184917250864</v>
      </c>
      <c r="J87" s="85">
        <v>300</v>
      </c>
      <c r="K87" s="85">
        <v>90</v>
      </c>
      <c r="L87" s="158">
        <f>INDEX(MMULT(AN87:AO88,AR87:AR88),1,1)</f>
        <v>-0.51024360722774986</v>
      </c>
      <c r="T87" s="109">
        <f t="shared" ref="T87:U90" si="4">LOG(E87)</f>
        <v>0</v>
      </c>
      <c r="U87" s="85">
        <f t="shared" si="4"/>
        <v>0.6020599913279624</v>
      </c>
      <c r="W87" s="85">
        <f>4</f>
        <v>4</v>
      </c>
      <c r="X87" s="85">
        <f>W88</f>
        <v>6.1760912590556813</v>
      </c>
      <c r="Y87" s="85">
        <f>X88</f>
        <v>13.022628786217448</v>
      </c>
      <c r="AA87" s="85">
        <f>INDEX(MINVERSE(W87:Y89),1,1)</f>
        <v>0.99928092012534531</v>
      </c>
      <c r="AB87" s="85">
        <f>INDEX(MINVERSE(W87:Y89),2)</f>
        <v>-0.96887778466405383</v>
      </c>
      <c r="AC87" s="85">
        <f>INDEX(MINVERSE(W87:Y89),3)</f>
        <v>0.22935107692054904</v>
      </c>
      <c r="AE87" s="85">
        <f>U87+U88+U89+U90</f>
        <v>5.2402496315187994</v>
      </c>
      <c r="AG87" s="85">
        <f t="shared" ref="AG87:AH89" si="5">LOG(J87)</f>
        <v>2.4771212547196626</v>
      </c>
      <c r="AH87" s="85">
        <f t="shared" si="5"/>
        <v>1.954242509439325</v>
      </c>
      <c r="AJ87" s="85">
        <v>3</v>
      </c>
      <c r="AK87" s="85">
        <f>AJ88</f>
        <v>8.9542425094393252</v>
      </c>
      <c r="AN87" s="85">
        <f>INDEX(MINVERSE(AJ87:AK88),1,1)</f>
        <v>18.13834224815108</v>
      </c>
      <c r="AO87" s="85">
        <f>INDEX(MINVERSE(AJ87:AK88),2)</f>
        <v>-5.9653317059644682</v>
      </c>
      <c r="AR87" s="110">
        <f>AH87+AH88+AH89</f>
        <v>7.380753770803901</v>
      </c>
    </row>
    <row r="88" spans="5:44" x14ac:dyDescent="0.25">
      <c r="E88" s="109">
        <v>50</v>
      </c>
      <c r="F88" s="85">
        <v>16.100000000000001</v>
      </c>
      <c r="G88" s="157">
        <f>INDEX(MMULT(AA87:AC89,AE87:AE89),2,1)</f>
        <v>-4.755720848801559E-2</v>
      </c>
      <c r="J88" s="85">
        <v>1000</v>
      </c>
      <c r="K88" s="85">
        <v>300</v>
      </c>
      <c r="L88" s="158">
        <f>INDEX(MMULT(AN87:AO88,AR87:AR88),2,1)</f>
        <v>0.99522484264780786</v>
      </c>
      <c r="T88" s="109">
        <f t="shared" si="4"/>
        <v>1.6989700043360187</v>
      </c>
      <c r="U88" s="85">
        <f t="shared" si="4"/>
        <v>1.2068258760318498</v>
      </c>
      <c r="W88" s="85">
        <f>T87+T88+T89+T90</f>
        <v>6.1760912590556813</v>
      </c>
      <c r="X88" s="85">
        <f>W89</f>
        <v>13.022628786217448</v>
      </c>
      <c r="Y88" s="85">
        <f>T87^3+T88^3+T89^3+T90^3</f>
        <v>28.104012674849244</v>
      </c>
      <c r="AA88" s="85">
        <f>INDEX(MINVERSE(W87:Y89),2,1)</f>
        <v>-0.96887778466405383</v>
      </c>
      <c r="AB88" s="85">
        <f>INDEX(MINVERSE(W87:Y89),2,2)</f>
        <v>4.5101853008225978</v>
      </c>
      <c r="AC88" s="85">
        <f>INDEX(MINVERSE(W87:Y89),2,3)</f>
        <v>-1.8413951029499336</v>
      </c>
      <c r="AE88" s="85">
        <f>T87*U87+T88*U88+T89*U89+T90*U90</f>
        <v>9.8454991302828176</v>
      </c>
      <c r="AG88" s="85">
        <f t="shared" si="5"/>
        <v>3</v>
      </c>
      <c r="AH88" s="85">
        <f t="shared" si="5"/>
        <v>2.4771212547196626</v>
      </c>
      <c r="AJ88" s="85">
        <f>AG87+AG88+AG89</f>
        <v>8.9542425094393252</v>
      </c>
      <c r="AK88" s="85">
        <f>AG87^2+AG88^2+AG89^2</f>
        <v>27.226501930607157</v>
      </c>
      <c r="AN88" s="85">
        <f>INDEX(MINVERSE(AJ87:AK88),2,1)</f>
        <v>-5.9653317059644682</v>
      </c>
      <c r="AO88" s="85">
        <f>INDEX(MINVERSE(AJ87:AK88),2,2)</f>
        <v>1.9986051415323987</v>
      </c>
      <c r="AR88" s="110">
        <f>AG87*AH87+AG88*AH88+AG89*AH89</f>
        <v>22.527646101730625</v>
      </c>
    </row>
    <row r="89" spans="5:44" x14ac:dyDescent="0.25">
      <c r="E89" s="109">
        <v>100</v>
      </c>
      <c r="F89" s="85">
        <v>30</v>
      </c>
      <c r="G89" s="157">
        <f>INDEX(MMULT(AA87:AC89,AE87:AE89),3,1)</f>
        <v>0.24012765591352192</v>
      </c>
      <c r="J89" s="85">
        <v>3000</v>
      </c>
      <c r="K89" s="85">
        <v>890</v>
      </c>
      <c r="L89" s="158"/>
      <c r="T89" s="109">
        <f t="shared" si="4"/>
        <v>2</v>
      </c>
      <c r="U89" s="85">
        <f t="shared" si="4"/>
        <v>1.4771212547196624</v>
      </c>
      <c r="W89" s="85">
        <f>T87^2+T88^2+T89^2+T90^2</f>
        <v>13.022628786217448</v>
      </c>
      <c r="X89" s="85">
        <f>Y88</f>
        <v>28.104012674849244</v>
      </c>
      <c r="Y89" s="85">
        <f>T87^4+T88^4+T89^4+T90^4</f>
        <v>61.983964738743879</v>
      </c>
      <c r="AA89" s="85">
        <f>INDEX(MINVERSE(W87:Y89),3,1)</f>
        <v>0.22935107692054904</v>
      </c>
      <c r="AB89" s="85">
        <f>INDEX(MINVERSE(W87:Y89),3,2)</f>
        <v>-1.8413951029499331</v>
      </c>
      <c r="AC89" s="85">
        <f>INDEX(MINVERSE(W87:Y89),3,3)</f>
        <v>0.8028501820753845</v>
      </c>
      <c r="AE89" s="85">
        <f>U87*T87^2+U88*T88^2+U89*T89^2+U90*T90^2</f>
        <v>21.38347231835192</v>
      </c>
      <c r="AG89" s="85">
        <f t="shared" si="5"/>
        <v>3.4771212547196626</v>
      </c>
      <c r="AH89" s="85">
        <f t="shared" si="5"/>
        <v>2.9493900066449128</v>
      </c>
      <c r="AR89" s="110"/>
    </row>
    <row r="90" spans="5:44" ht="15" thickBot="1" x14ac:dyDescent="0.3">
      <c r="E90" s="119">
        <v>300</v>
      </c>
      <c r="F90" s="120">
        <v>90</v>
      </c>
      <c r="G90" s="160"/>
      <c r="H90" s="120"/>
      <c r="I90" s="120"/>
      <c r="J90" s="120"/>
      <c r="K90" s="120"/>
      <c r="L90" s="166"/>
      <c r="T90" s="119">
        <f t="shared" si="4"/>
        <v>2.4771212547196626</v>
      </c>
      <c r="U90" s="120">
        <f t="shared" si="4"/>
        <v>1.954242509439325</v>
      </c>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2"/>
    </row>
    <row r="92" spans="5:44" ht="15" thickBot="1" x14ac:dyDescent="0.3"/>
    <row r="93" spans="5:44" x14ac:dyDescent="0.25">
      <c r="E93" s="167" t="s">
        <v>269</v>
      </c>
      <c r="F93" s="168"/>
      <c r="G93" s="93"/>
      <c r="H93" s="93"/>
      <c r="I93" s="93"/>
      <c r="J93" s="93"/>
      <c r="K93" s="93"/>
      <c r="L93" s="93"/>
      <c r="M93" s="93"/>
      <c r="N93" s="127"/>
    </row>
    <row r="94" spans="5:44" x14ac:dyDescent="0.25">
      <c r="E94" s="109"/>
      <c r="N94" s="110"/>
    </row>
    <row r="95" spans="5:44" x14ac:dyDescent="0.25">
      <c r="E95" s="169" t="s">
        <v>270</v>
      </c>
      <c r="F95" s="170" t="s">
        <v>271</v>
      </c>
      <c r="G95" s="171" t="s">
        <v>270</v>
      </c>
      <c r="H95" s="170" t="s">
        <v>271</v>
      </c>
      <c r="I95" s="108"/>
      <c r="J95" s="171" t="s">
        <v>270</v>
      </c>
      <c r="K95" s="170" t="s">
        <v>271</v>
      </c>
      <c r="L95" s="171" t="s">
        <v>270</v>
      </c>
      <c r="M95" s="170" t="s">
        <v>271</v>
      </c>
      <c r="N95" s="172">
        <v>1.0169999999999999</v>
      </c>
    </row>
    <row r="96" spans="5:44" x14ac:dyDescent="0.25">
      <c r="E96" s="169" t="s">
        <v>272</v>
      </c>
      <c r="F96" s="170" t="s">
        <v>273</v>
      </c>
      <c r="G96" s="171" t="s">
        <v>272</v>
      </c>
      <c r="H96" s="170" t="s">
        <v>273</v>
      </c>
      <c r="I96" s="108"/>
      <c r="J96" s="171" t="s">
        <v>272</v>
      </c>
      <c r="K96" s="170" t="s">
        <v>273</v>
      </c>
      <c r="L96" s="171" t="s">
        <v>272</v>
      </c>
      <c r="M96" s="170" t="s">
        <v>273</v>
      </c>
      <c r="N96" s="172">
        <v>1.022</v>
      </c>
    </row>
    <row r="97" spans="5:14" x14ac:dyDescent="0.25">
      <c r="E97" s="169"/>
      <c r="F97" s="171" t="s">
        <v>274</v>
      </c>
      <c r="G97" s="171"/>
      <c r="H97" s="171" t="s">
        <v>274</v>
      </c>
      <c r="I97" s="108"/>
      <c r="J97" s="171"/>
      <c r="K97" s="171" t="s">
        <v>274</v>
      </c>
      <c r="L97" s="171"/>
      <c r="M97" s="171" t="s">
        <v>274</v>
      </c>
      <c r="N97" s="110"/>
    </row>
    <row r="98" spans="5:14" x14ac:dyDescent="0.25">
      <c r="E98" s="169">
        <v>1981</v>
      </c>
      <c r="F98" s="170">
        <v>0.51</v>
      </c>
      <c r="G98" s="171">
        <f>E107+1</f>
        <v>1991</v>
      </c>
      <c r="H98" s="170">
        <v>0.83699999999999997</v>
      </c>
      <c r="J98" s="171">
        <f>G107+1</f>
        <v>2001</v>
      </c>
      <c r="K98" s="170">
        <f>ROUND(H107*$N$95,3)</f>
        <v>1.0169999999999999</v>
      </c>
      <c r="L98" s="171">
        <f>J107+1</f>
        <v>2011</v>
      </c>
      <c r="M98" s="170">
        <f>K107*$N$96</f>
        <v>1.2519500000000001</v>
      </c>
      <c r="N98" s="110"/>
    </row>
    <row r="99" spans="5:14" x14ac:dyDescent="0.25">
      <c r="E99" s="169">
        <f t="shared" ref="E99:E107" si="6">E98+1</f>
        <v>1982</v>
      </c>
      <c r="F99" s="170">
        <v>0.55900000000000005</v>
      </c>
      <c r="G99" s="171">
        <f t="shared" ref="G99:G107" si="7">G98+1</f>
        <v>1992</v>
      </c>
      <c r="H99" s="170">
        <v>0.86</v>
      </c>
      <c r="J99" s="171">
        <f t="shared" ref="J99:J107" si="8">J98+1</f>
        <v>2002</v>
      </c>
      <c r="K99" s="170">
        <f>ROUND(K98*$N$95,3)</f>
        <v>1.034</v>
      </c>
      <c r="L99" s="171">
        <f t="shared" ref="L99:L107" si="9">L98+1</f>
        <v>2012</v>
      </c>
      <c r="M99" s="170">
        <f t="shared" ref="M99:M107" si="10">M98*$N$96</f>
        <v>1.2794929000000002</v>
      </c>
      <c r="N99" s="110"/>
    </row>
    <row r="100" spans="5:14" x14ac:dyDescent="0.25">
      <c r="E100" s="169">
        <f t="shared" si="6"/>
        <v>1983</v>
      </c>
      <c r="F100" s="170">
        <v>0.61</v>
      </c>
      <c r="G100" s="171">
        <f t="shared" si="7"/>
        <v>1993</v>
      </c>
      <c r="H100" s="170">
        <v>0.88300000000000001</v>
      </c>
      <c r="J100" s="171">
        <f t="shared" si="8"/>
        <v>2003</v>
      </c>
      <c r="K100" s="170">
        <f>ROUND(K99*$N$95,3)</f>
        <v>1.052</v>
      </c>
      <c r="L100" s="171">
        <f t="shared" si="9"/>
        <v>2013</v>
      </c>
      <c r="M100" s="170">
        <f t="shared" si="10"/>
        <v>1.3076417438000001</v>
      </c>
      <c r="N100" s="173"/>
    </row>
    <row r="101" spans="5:14" x14ac:dyDescent="0.25">
      <c r="E101" s="169">
        <f t="shared" si="6"/>
        <v>1984</v>
      </c>
      <c r="F101" s="170">
        <v>0.65800000000000003</v>
      </c>
      <c r="G101" s="171">
        <f t="shared" si="7"/>
        <v>1994</v>
      </c>
      <c r="H101" s="170">
        <v>0.90100000000000002</v>
      </c>
      <c r="J101" s="171">
        <f t="shared" si="8"/>
        <v>2004</v>
      </c>
      <c r="K101" s="170">
        <f t="shared" ref="K101:K107" si="11">ROUND(K100*$N$96,3)</f>
        <v>1.075</v>
      </c>
      <c r="L101" s="171">
        <f t="shared" si="9"/>
        <v>2014</v>
      </c>
      <c r="M101" s="170">
        <f t="shared" si="10"/>
        <v>1.3364098621636</v>
      </c>
      <c r="N101" s="173"/>
    </row>
    <row r="102" spans="5:14" x14ac:dyDescent="0.25">
      <c r="E102" s="169">
        <f t="shared" si="6"/>
        <v>1985</v>
      </c>
      <c r="F102" s="170">
        <v>0.68100000000000005</v>
      </c>
      <c r="G102" s="171">
        <f t="shared" si="7"/>
        <v>1995</v>
      </c>
      <c r="H102" s="170">
        <v>0.91800000000000004</v>
      </c>
      <c r="J102" s="171">
        <f t="shared" si="8"/>
        <v>2005</v>
      </c>
      <c r="K102" s="170">
        <f t="shared" si="11"/>
        <v>1.099</v>
      </c>
      <c r="L102" s="171">
        <f t="shared" si="9"/>
        <v>2015</v>
      </c>
      <c r="M102" s="170">
        <f t="shared" si="10"/>
        <v>1.3658108791311994</v>
      </c>
      <c r="N102" s="110"/>
    </row>
    <row r="103" spans="5:14" x14ac:dyDescent="0.25">
      <c r="E103" s="169">
        <f t="shared" si="6"/>
        <v>1986</v>
      </c>
      <c r="F103" s="170">
        <v>0.7</v>
      </c>
      <c r="G103" s="171">
        <f t="shared" si="7"/>
        <v>1996</v>
      </c>
      <c r="H103" s="170">
        <v>0.93700000000000006</v>
      </c>
      <c r="J103" s="171">
        <f t="shared" si="8"/>
        <v>2006</v>
      </c>
      <c r="K103" s="170">
        <f t="shared" si="11"/>
        <v>1.123</v>
      </c>
      <c r="L103" s="171">
        <f t="shared" si="9"/>
        <v>2016</v>
      </c>
      <c r="M103" s="170">
        <f t="shared" si="10"/>
        <v>1.3958587184720859</v>
      </c>
      <c r="N103" s="110"/>
    </row>
    <row r="104" spans="5:14" x14ac:dyDescent="0.25">
      <c r="E104" s="169">
        <f t="shared" si="6"/>
        <v>1987</v>
      </c>
      <c r="F104" s="170">
        <v>0.71899999999999997</v>
      </c>
      <c r="G104" s="171">
        <f t="shared" si="7"/>
        <v>1997</v>
      </c>
      <c r="H104" s="170">
        <v>0.95799999999999996</v>
      </c>
      <c r="J104" s="171">
        <f t="shared" si="8"/>
        <v>2007</v>
      </c>
      <c r="K104" s="170">
        <f t="shared" si="11"/>
        <v>1.1479999999999999</v>
      </c>
      <c r="L104" s="171">
        <f t="shared" si="9"/>
        <v>2017</v>
      </c>
      <c r="M104" s="170">
        <f t="shared" si="10"/>
        <v>1.4265676102784717</v>
      </c>
      <c r="N104" s="110"/>
    </row>
    <row r="105" spans="5:14" x14ac:dyDescent="0.25">
      <c r="E105" s="169">
        <f t="shared" si="6"/>
        <v>1988</v>
      </c>
      <c r="F105" s="170">
        <v>0.74</v>
      </c>
      <c r="G105" s="171">
        <f t="shared" si="7"/>
        <v>1998</v>
      </c>
      <c r="H105" s="170">
        <v>0.97</v>
      </c>
      <c r="J105" s="171">
        <f t="shared" si="8"/>
        <v>2008</v>
      </c>
      <c r="K105" s="170">
        <f t="shared" si="11"/>
        <v>1.173</v>
      </c>
      <c r="L105" s="171">
        <f t="shared" si="9"/>
        <v>2018</v>
      </c>
      <c r="M105" s="170">
        <f t="shared" si="10"/>
        <v>1.4579520977045981</v>
      </c>
      <c r="N105" s="110"/>
    </row>
    <row r="106" spans="5:14" x14ac:dyDescent="0.25">
      <c r="E106" s="169">
        <f t="shared" si="6"/>
        <v>1989</v>
      </c>
      <c r="F106" s="170">
        <v>0.77100000000000002</v>
      </c>
      <c r="G106" s="171">
        <f t="shared" si="7"/>
        <v>1999</v>
      </c>
      <c r="H106" s="170">
        <v>0.98399999999999999</v>
      </c>
      <c r="J106" s="171">
        <f t="shared" si="8"/>
        <v>2009</v>
      </c>
      <c r="K106" s="170">
        <f t="shared" si="11"/>
        <v>1.1990000000000001</v>
      </c>
      <c r="L106" s="171">
        <f t="shared" si="9"/>
        <v>2019</v>
      </c>
      <c r="M106" s="170">
        <f t="shared" si="10"/>
        <v>1.4900270438540992</v>
      </c>
      <c r="N106" s="110"/>
    </row>
    <row r="107" spans="5:14" ht="15" thickBot="1" x14ac:dyDescent="0.3">
      <c r="E107" s="174">
        <f t="shared" si="6"/>
        <v>1990</v>
      </c>
      <c r="F107" s="175">
        <v>0.80200000000000005</v>
      </c>
      <c r="G107" s="176">
        <f t="shared" si="7"/>
        <v>2000</v>
      </c>
      <c r="H107" s="175">
        <v>1</v>
      </c>
      <c r="I107" s="120"/>
      <c r="J107" s="176">
        <f t="shared" si="8"/>
        <v>2010</v>
      </c>
      <c r="K107" s="175">
        <f t="shared" si="11"/>
        <v>1.2250000000000001</v>
      </c>
      <c r="L107" s="176">
        <f t="shared" si="9"/>
        <v>2020</v>
      </c>
      <c r="M107" s="175">
        <f t="shared" si="10"/>
        <v>1.5228076388188894</v>
      </c>
      <c r="N107" s="122"/>
    </row>
    <row r="109" spans="5:14" ht="15" thickBot="1" x14ac:dyDescent="0.3">
      <c r="M109" s="177"/>
    </row>
    <row r="110" spans="5:14" x14ac:dyDescent="0.25">
      <c r="E110" s="167" t="s">
        <v>275</v>
      </c>
      <c r="F110" s="168"/>
      <c r="G110" s="168"/>
      <c r="H110" s="93"/>
      <c r="I110" s="127"/>
      <c r="M110" s="177"/>
    </row>
    <row r="111" spans="5:14" ht="15" thickBot="1" x14ac:dyDescent="0.3">
      <c r="E111" s="119"/>
      <c r="F111" s="120"/>
      <c r="G111" s="120"/>
      <c r="H111" s="120"/>
      <c r="I111" s="122"/>
    </row>
    <row r="112" spans="5:14" x14ac:dyDescent="0.25">
      <c r="E112" s="178"/>
      <c r="F112" s="93"/>
      <c r="G112" s="179" t="s">
        <v>276</v>
      </c>
      <c r="H112" s="179" t="s">
        <v>277</v>
      </c>
      <c r="I112" s="180" t="s">
        <v>278</v>
      </c>
      <c r="M112" s="181" t="s">
        <v>279</v>
      </c>
      <c r="N112" s="127"/>
    </row>
    <row r="113" spans="5:18" x14ac:dyDescent="0.25">
      <c r="E113" s="109"/>
      <c r="G113" s="171" t="s">
        <v>280</v>
      </c>
      <c r="H113" s="171" t="s">
        <v>281</v>
      </c>
      <c r="I113" s="182" t="s">
        <v>281</v>
      </c>
      <c r="M113" s="109"/>
      <c r="N113" s="110"/>
    </row>
    <row r="114" spans="5:18" x14ac:dyDescent="0.25">
      <c r="E114" s="183" t="s">
        <v>208</v>
      </c>
      <c r="F114" s="177"/>
      <c r="G114" s="184">
        <v>0.4</v>
      </c>
      <c r="H114" s="185">
        <v>0.6</v>
      </c>
      <c r="I114" s="186">
        <f>1-H114</f>
        <v>0.4</v>
      </c>
      <c r="M114" s="109" t="s">
        <v>282</v>
      </c>
      <c r="N114" s="110" t="s">
        <v>283</v>
      </c>
    </row>
    <row r="115" spans="5:18" x14ac:dyDescent="0.25">
      <c r="E115" s="183" t="s">
        <v>284</v>
      </c>
      <c r="F115" s="177"/>
      <c r="G115" s="187">
        <f>SUM(G116:G122)</f>
        <v>0.99999999999999989</v>
      </c>
      <c r="H115" s="188">
        <f>SUMPRODUCT((G116:G122),(H116:H122))</f>
        <v>0.59983999999999993</v>
      </c>
      <c r="I115" s="189">
        <f>SUMPRODUCT((G116:G122),(I116:I122))</f>
        <v>0.40016000000000002</v>
      </c>
      <c r="M115" s="109" t="s">
        <v>285</v>
      </c>
      <c r="N115" s="110">
        <v>1000</v>
      </c>
    </row>
    <row r="116" spans="5:18" x14ac:dyDescent="0.25">
      <c r="E116" s="183"/>
      <c r="F116" s="177" t="s">
        <v>213</v>
      </c>
      <c r="G116" s="184">
        <v>0.184</v>
      </c>
      <c r="H116" s="185">
        <v>0.37</v>
      </c>
      <c r="I116" s="186">
        <f t="shared" ref="I116:I126" si="12">1-H116</f>
        <v>0.63</v>
      </c>
      <c r="M116" s="109" t="s">
        <v>286</v>
      </c>
      <c r="N116" s="110">
        <v>1000</v>
      </c>
    </row>
    <row r="117" spans="5:18" x14ac:dyDescent="0.25">
      <c r="E117" s="183"/>
      <c r="F117" s="177" t="s">
        <v>231</v>
      </c>
      <c r="G117" s="190">
        <v>0.17</v>
      </c>
      <c r="H117" s="191">
        <v>0.7</v>
      </c>
      <c r="I117" s="186">
        <f t="shared" si="12"/>
        <v>0.30000000000000004</v>
      </c>
      <c r="M117" s="109" t="s">
        <v>287</v>
      </c>
      <c r="N117" s="110">
        <v>1000</v>
      </c>
    </row>
    <row r="118" spans="5:18" x14ac:dyDescent="0.25">
      <c r="E118" s="183"/>
      <c r="F118" s="177" t="s">
        <v>93</v>
      </c>
      <c r="G118" s="184">
        <v>0.23300000000000001</v>
      </c>
      <c r="H118" s="185">
        <v>0.62</v>
      </c>
      <c r="I118" s="186">
        <f t="shared" si="12"/>
        <v>0.38</v>
      </c>
      <c r="M118" s="109" t="s">
        <v>288</v>
      </c>
      <c r="N118" s="110">
        <v>3500</v>
      </c>
      <c r="R118" s="192"/>
    </row>
    <row r="119" spans="5:18" x14ac:dyDescent="0.25">
      <c r="E119" s="183"/>
      <c r="F119" s="177" t="s">
        <v>217</v>
      </c>
      <c r="G119" s="184">
        <v>8.4000000000000005E-2</v>
      </c>
      <c r="H119" s="185">
        <v>0.5</v>
      </c>
      <c r="I119" s="186">
        <f t="shared" si="12"/>
        <v>0.5</v>
      </c>
      <c r="M119" s="109"/>
      <c r="N119" s="110"/>
      <c r="R119" s="193"/>
    </row>
    <row r="120" spans="5:18" x14ac:dyDescent="0.25">
      <c r="E120" s="183"/>
      <c r="F120" s="177" t="s">
        <v>212</v>
      </c>
      <c r="G120" s="184">
        <v>0.183</v>
      </c>
      <c r="H120" s="185">
        <v>0.7</v>
      </c>
      <c r="I120" s="186">
        <f t="shared" si="12"/>
        <v>0.30000000000000004</v>
      </c>
      <c r="M120" s="109"/>
      <c r="N120" s="110"/>
    </row>
    <row r="121" spans="5:18" x14ac:dyDescent="0.25">
      <c r="E121" s="183"/>
      <c r="F121" s="177" t="s">
        <v>216</v>
      </c>
      <c r="G121" s="184">
        <v>0.02</v>
      </c>
      <c r="H121" s="185">
        <v>0.5</v>
      </c>
      <c r="I121" s="186">
        <f t="shared" si="12"/>
        <v>0.5</v>
      </c>
      <c r="M121" s="109"/>
      <c r="N121" s="110"/>
    </row>
    <row r="122" spans="5:18" x14ac:dyDescent="0.25">
      <c r="E122" s="194"/>
      <c r="F122" s="177" t="s">
        <v>209</v>
      </c>
      <c r="G122" s="184">
        <v>0.126</v>
      </c>
      <c r="H122" s="191">
        <v>0.7</v>
      </c>
      <c r="I122" s="186">
        <f t="shared" si="12"/>
        <v>0.30000000000000004</v>
      </c>
      <c r="M122" s="109"/>
      <c r="N122" s="110"/>
    </row>
    <row r="123" spans="5:18" x14ac:dyDescent="0.25">
      <c r="E123" s="183" t="s">
        <v>289</v>
      </c>
      <c r="F123" s="177"/>
      <c r="G123" s="184">
        <v>0.13900000000000001</v>
      </c>
      <c r="H123" s="185">
        <v>0</v>
      </c>
      <c r="I123" s="186">
        <f t="shared" si="12"/>
        <v>1</v>
      </c>
      <c r="M123" s="109" t="s">
        <v>290</v>
      </c>
      <c r="N123" s="110"/>
    </row>
    <row r="124" spans="5:18" x14ac:dyDescent="0.25">
      <c r="E124" s="183" t="s">
        <v>291</v>
      </c>
      <c r="F124" s="177"/>
      <c r="G124" s="184">
        <v>0.22900000000000001</v>
      </c>
      <c r="H124" s="185">
        <v>0.5</v>
      </c>
      <c r="I124" s="186">
        <f t="shared" si="12"/>
        <v>0.5</v>
      </c>
      <c r="M124" s="109" t="s">
        <v>292</v>
      </c>
      <c r="N124" s="110">
        <v>800</v>
      </c>
    </row>
    <row r="125" spans="5:18" x14ac:dyDescent="0.25">
      <c r="E125" s="183" t="s">
        <v>293</v>
      </c>
      <c r="F125" s="177"/>
      <c r="G125" s="184">
        <v>6.6000000000000003E-2</v>
      </c>
      <c r="H125" s="185">
        <v>1</v>
      </c>
      <c r="I125" s="186">
        <f t="shared" si="12"/>
        <v>0</v>
      </c>
      <c r="M125" s="109" t="s">
        <v>242</v>
      </c>
      <c r="N125" s="110">
        <v>500</v>
      </c>
    </row>
    <row r="126" spans="5:18" ht="15" thickBot="1" x14ac:dyDescent="0.3">
      <c r="E126" s="195" t="s">
        <v>294</v>
      </c>
      <c r="F126" s="196"/>
      <c r="G126" s="197">
        <v>6.0999999999999999E-2</v>
      </c>
      <c r="H126" s="198">
        <v>0</v>
      </c>
      <c r="I126" s="199">
        <f t="shared" si="12"/>
        <v>1</v>
      </c>
      <c r="M126" s="109" t="s">
        <v>241</v>
      </c>
      <c r="N126" s="110">
        <v>1200</v>
      </c>
    </row>
    <row r="127" spans="5:18" x14ac:dyDescent="0.25">
      <c r="M127" s="109" t="s">
        <v>295</v>
      </c>
      <c r="N127" s="110">
        <v>200</v>
      </c>
    </row>
    <row r="128" spans="5:18" ht="15" thickBot="1" x14ac:dyDescent="0.3">
      <c r="M128" s="109" t="s">
        <v>296</v>
      </c>
      <c r="N128" s="110">
        <v>400</v>
      </c>
    </row>
    <row r="129" spans="5:18" x14ac:dyDescent="0.25">
      <c r="E129" s="167" t="s">
        <v>297</v>
      </c>
      <c r="F129" s="168"/>
      <c r="G129" s="93"/>
      <c r="H129" s="127"/>
      <c r="M129" s="109" t="s">
        <v>298</v>
      </c>
      <c r="N129" s="110">
        <v>2000</v>
      </c>
    </row>
    <row r="130" spans="5:18" x14ac:dyDescent="0.25">
      <c r="E130" s="109"/>
      <c r="H130" s="110"/>
      <c r="M130" s="109" t="s">
        <v>299</v>
      </c>
      <c r="N130" s="110">
        <v>300</v>
      </c>
      <c r="R130" s="192"/>
    </row>
    <row r="131" spans="5:18" x14ac:dyDescent="0.25">
      <c r="E131" s="109" t="s">
        <v>300</v>
      </c>
      <c r="H131" s="200">
        <v>1.1000000000000001</v>
      </c>
      <c r="M131" s="109" t="s">
        <v>301</v>
      </c>
      <c r="N131" s="110">
        <v>2500</v>
      </c>
      <c r="R131" s="193"/>
    </row>
    <row r="132" spans="5:18" x14ac:dyDescent="0.25">
      <c r="E132" s="109" t="s">
        <v>302</v>
      </c>
      <c r="H132" s="200">
        <v>1</v>
      </c>
      <c r="M132" s="109"/>
      <c r="N132" s="110"/>
    </row>
    <row r="133" spans="5:18" x14ac:dyDescent="0.25">
      <c r="E133" s="109" t="s">
        <v>303</v>
      </c>
      <c r="H133" s="200">
        <v>0.8</v>
      </c>
      <c r="M133" s="109"/>
      <c r="N133" s="110"/>
    </row>
    <row r="134" spans="5:18" x14ac:dyDescent="0.25">
      <c r="E134" s="109" t="s">
        <v>304</v>
      </c>
      <c r="H134" s="200">
        <v>0.5</v>
      </c>
      <c r="M134" s="109"/>
      <c r="N134" s="110"/>
    </row>
    <row r="135" spans="5:18" ht="15" thickBot="1" x14ac:dyDescent="0.3">
      <c r="E135" s="119" t="s">
        <v>305</v>
      </c>
      <c r="F135" s="120"/>
      <c r="G135" s="120"/>
      <c r="H135" s="201">
        <v>0.2</v>
      </c>
      <c r="M135" s="109" t="s">
        <v>306</v>
      </c>
      <c r="N135" s="110"/>
    </row>
    <row r="136" spans="5:18" x14ac:dyDescent="0.25">
      <c r="M136" s="109" t="s">
        <v>307</v>
      </c>
      <c r="N136" s="110">
        <v>2000</v>
      </c>
    </row>
    <row r="137" spans="5:18" x14ac:dyDescent="0.25">
      <c r="M137" s="109" t="s">
        <v>308</v>
      </c>
      <c r="N137" s="110">
        <v>8000</v>
      </c>
    </row>
    <row r="138" spans="5:18" x14ac:dyDescent="0.25">
      <c r="M138" s="109" t="s">
        <v>309</v>
      </c>
      <c r="N138" s="110">
        <v>800</v>
      </c>
    </row>
    <row r="139" spans="5:18" x14ac:dyDescent="0.25">
      <c r="M139" s="109" t="s">
        <v>310</v>
      </c>
      <c r="N139" s="110">
        <v>3500</v>
      </c>
    </row>
    <row r="140" spans="5:18" x14ac:dyDescent="0.25">
      <c r="M140" s="109" t="s">
        <v>311</v>
      </c>
      <c r="N140" s="110">
        <v>2000</v>
      </c>
    </row>
    <row r="141" spans="5:18" x14ac:dyDescent="0.25">
      <c r="M141" s="109" t="s">
        <v>312</v>
      </c>
      <c r="N141" s="110">
        <v>4000</v>
      </c>
    </row>
    <row r="142" spans="5:18" x14ac:dyDescent="0.25">
      <c r="M142" s="109" t="s">
        <v>313</v>
      </c>
      <c r="N142" s="110">
        <v>3000</v>
      </c>
    </row>
    <row r="143" spans="5:18" x14ac:dyDescent="0.25">
      <c r="M143" s="109" t="s">
        <v>314</v>
      </c>
      <c r="N143" s="110">
        <v>8500</v>
      </c>
      <c r="R143" s="192"/>
    </row>
    <row r="144" spans="5:18" x14ac:dyDescent="0.25">
      <c r="M144" s="109"/>
      <c r="N144" s="110"/>
      <c r="R144" s="193"/>
    </row>
    <row r="145" spans="13:18" x14ac:dyDescent="0.25">
      <c r="M145" s="109"/>
      <c r="N145" s="110"/>
    </row>
    <row r="146" spans="13:18" x14ac:dyDescent="0.25">
      <c r="M146" s="109"/>
      <c r="N146" s="110"/>
    </row>
    <row r="147" spans="13:18" x14ac:dyDescent="0.25">
      <c r="M147" s="109" t="s">
        <v>315</v>
      </c>
      <c r="N147" s="110"/>
    </row>
    <row r="148" spans="13:18" x14ac:dyDescent="0.25">
      <c r="M148" s="109" t="s">
        <v>316</v>
      </c>
      <c r="N148" s="110">
        <v>600</v>
      </c>
    </row>
    <row r="149" spans="13:18" x14ac:dyDescent="0.25">
      <c r="M149" s="109" t="s">
        <v>317</v>
      </c>
      <c r="N149" s="110">
        <v>800</v>
      </c>
    </row>
    <row r="150" spans="13:18" x14ac:dyDescent="0.25">
      <c r="M150" s="109" t="s">
        <v>318</v>
      </c>
      <c r="N150" s="110">
        <v>1200</v>
      </c>
    </row>
    <row r="151" spans="13:18" x14ac:dyDescent="0.25">
      <c r="M151" s="109" t="s">
        <v>319</v>
      </c>
      <c r="N151" s="110">
        <v>1500</v>
      </c>
      <c r="R151" s="192"/>
    </row>
    <row r="152" spans="13:18" x14ac:dyDescent="0.25">
      <c r="M152" s="109"/>
      <c r="N152" s="110"/>
      <c r="R152" s="193"/>
    </row>
    <row r="153" spans="13:18" x14ac:dyDescent="0.25">
      <c r="M153" s="109"/>
      <c r="N153" s="110"/>
    </row>
    <row r="154" spans="13:18" x14ac:dyDescent="0.25">
      <c r="M154" s="109"/>
      <c r="N154" s="110"/>
    </row>
    <row r="155" spans="13:18" x14ac:dyDescent="0.25">
      <c r="M155" s="109" t="s">
        <v>320</v>
      </c>
      <c r="N155" s="110"/>
    </row>
    <row r="156" spans="13:18" x14ac:dyDescent="0.25">
      <c r="M156" s="109" t="s">
        <v>321</v>
      </c>
      <c r="N156" s="110">
        <v>4000</v>
      </c>
    </row>
    <row r="157" spans="13:18" x14ac:dyDescent="0.25">
      <c r="M157" s="109" t="s">
        <v>322</v>
      </c>
      <c r="N157" s="110">
        <v>2500</v>
      </c>
    </row>
    <row r="158" spans="13:18" x14ac:dyDescent="0.25">
      <c r="M158" s="109" t="s">
        <v>323</v>
      </c>
      <c r="N158" s="110">
        <v>5000</v>
      </c>
      <c r="R158" s="192"/>
    </row>
    <row r="159" spans="13:18" x14ac:dyDescent="0.25">
      <c r="M159" s="109"/>
      <c r="N159" s="110"/>
      <c r="R159" s="193"/>
    </row>
    <row r="160" spans="13:18" x14ac:dyDescent="0.25">
      <c r="M160" s="109"/>
      <c r="N160" s="110"/>
    </row>
    <row r="161" spans="13:18" x14ac:dyDescent="0.25">
      <c r="M161" s="109"/>
      <c r="N161" s="110"/>
    </row>
    <row r="162" spans="13:18" x14ac:dyDescent="0.25">
      <c r="M162" s="109" t="s">
        <v>324</v>
      </c>
      <c r="N162" s="110"/>
    </row>
    <row r="163" spans="13:18" x14ac:dyDescent="0.25">
      <c r="M163" s="109" t="s">
        <v>325</v>
      </c>
      <c r="N163" s="110">
        <v>800</v>
      </c>
    </row>
    <row r="164" spans="13:18" x14ac:dyDescent="0.25">
      <c r="M164" s="109" t="s">
        <v>326</v>
      </c>
      <c r="N164" s="110">
        <v>1500</v>
      </c>
    </row>
    <row r="165" spans="13:18" x14ac:dyDescent="0.25">
      <c r="M165" s="109" t="s">
        <v>327</v>
      </c>
      <c r="N165" s="110">
        <v>1800</v>
      </c>
    </row>
    <row r="166" spans="13:18" x14ac:dyDescent="0.25">
      <c r="M166" s="109" t="s">
        <v>328</v>
      </c>
      <c r="N166" s="110">
        <v>1200</v>
      </c>
    </row>
    <row r="167" spans="13:18" x14ac:dyDescent="0.25">
      <c r="M167" s="109" t="s">
        <v>329</v>
      </c>
      <c r="N167" s="110">
        <v>2000</v>
      </c>
      <c r="R167" s="192"/>
    </row>
    <row r="168" spans="13:18" x14ac:dyDescent="0.25">
      <c r="M168" s="109"/>
      <c r="N168" s="110"/>
      <c r="R168" s="193"/>
    </row>
    <row r="169" spans="13:18" x14ac:dyDescent="0.25">
      <c r="M169" s="109"/>
      <c r="N169" s="110"/>
    </row>
    <row r="170" spans="13:18" x14ac:dyDescent="0.25">
      <c r="M170" s="109"/>
      <c r="N170" s="110"/>
    </row>
    <row r="171" spans="13:18" x14ac:dyDescent="0.25">
      <c r="M171" s="109" t="s">
        <v>330</v>
      </c>
      <c r="N171" s="110"/>
    </row>
    <row r="172" spans="13:18" x14ac:dyDescent="0.25">
      <c r="M172" s="109" t="s">
        <v>331</v>
      </c>
      <c r="N172" s="110">
        <v>3000</v>
      </c>
    </row>
    <row r="173" spans="13:18" x14ac:dyDescent="0.25">
      <c r="M173" s="109" t="s">
        <v>332</v>
      </c>
      <c r="N173" s="110">
        <v>1200</v>
      </c>
    </row>
    <row r="174" spans="13:18" ht="15" thickBot="1" x14ac:dyDescent="0.3">
      <c r="M174" s="119" t="s">
        <v>333</v>
      </c>
      <c r="N174" s="122">
        <v>800</v>
      </c>
      <c r="R174" s="192"/>
    </row>
    <row r="175" spans="13:18" x14ac:dyDescent="0.25">
      <c r="R175" s="193"/>
    </row>
  </sheetData>
  <mergeCells count="3">
    <mergeCell ref="E29:G29"/>
    <mergeCell ref="E38:F38"/>
    <mergeCell ref="E51:F51"/>
  </mergeCells>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30</vt:i4>
      </vt:variant>
    </vt:vector>
  </HeadingPairs>
  <TitlesOfParts>
    <vt:vector size="37" baseType="lpstr">
      <vt:lpstr>Cover</vt:lpstr>
      <vt:lpstr>Change Log</vt:lpstr>
      <vt:lpstr>Objectives</vt:lpstr>
      <vt:lpstr>Motor sizing</vt:lpstr>
      <vt:lpstr>Trade_off</vt:lpstr>
      <vt:lpstr>ProductTreeMain</vt:lpstr>
      <vt:lpstr>Constants</vt:lpstr>
      <vt:lpstr>Avg_Solar_Flux</vt:lpstr>
      <vt:lpstr>Constants!Boltzmann_Constant</vt:lpstr>
      <vt:lpstr>Constants!Earth_Mu</vt:lpstr>
      <vt:lpstr>Earth_OrbitRadius</vt:lpstr>
      <vt:lpstr>Earth_OrbPeriod</vt:lpstr>
      <vt:lpstr>Constants!Earth_Radius</vt:lpstr>
      <vt:lpstr>Earth_SidDay</vt:lpstr>
      <vt:lpstr>Earth_SolarDay</vt:lpstr>
      <vt:lpstr>Max_Solar_Flux</vt:lpstr>
      <vt:lpstr>Constants!Planck_Constant</vt:lpstr>
      <vt:lpstr>Planet_Albedo</vt:lpstr>
      <vt:lpstr>Planet_J2</vt:lpstr>
      <vt:lpstr>Planet_Mag_Moment</vt:lpstr>
      <vt:lpstr>Planet_MaxIR</vt:lpstr>
      <vt:lpstr>Planet_MinIR</vt:lpstr>
      <vt:lpstr>Planet_MoonNode</vt:lpstr>
      <vt:lpstr>Planet_MoonPer</vt:lpstr>
      <vt:lpstr>Planet_Mu</vt:lpstr>
      <vt:lpstr>Planet_OrbitRadius</vt:lpstr>
      <vt:lpstr>Planet_OrbPeriod</vt:lpstr>
      <vt:lpstr>Planet_SidDay</vt:lpstr>
      <vt:lpstr>Planet_SolarDay</vt:lpstr>
      <vt:lpstr>Planet_SunNode</vt:lpstr>
      <vt:lpstr>Planet_SunPer</vt:lpstr>
      <vt:lpstr>Planet_Vel</vt:lpstr>
      <vt:lpstr>Constants!Rain_Temp</vt:lpstr>
      <vt:lpstr>Constants!Speed_of_Light</vt:lpstr>
      <vt:lpstr>Constants!Stefan_Boltzmann_Constant</vt:lpstr>
      <vt:lpstr>Stefan_Boltzmann_Constants</vt:lpstr>
      <vt:lpstr>Sun_Mu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loris.franchi@esa.int</dc:creator>
  <cp:lastModifiedBy>Teacher</cp:lastModifiedBy>
  <dcterms:created xsi:type="dcterms:W3CDTF">2019-02-28T14:56:50Z</dcterms:created>
  <dcterms:modified xsi:type="dcterms:W3CDTF">2019-11-06T10:51:39Z</dcterms:modified>
</cp:coreProperties>
</file>